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232A2DFC-2043-4ADD-8C89-DB3A845A2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27" r:id="rId1"/>
    <sheet name="Zał.Nr2" sheetId="28" r:id="rId2"/>
    <sheet name="Zał.Nr3" sheetId="29" r:id="rId3"/>
    <sheet name="Zał.Nr4" sheetId="30" r:id="rId4"/>
    <sheet name="Zał.Nr5" sheetId="31" r:id="rId5"/>
    <sheet name="Arkusz1" sheetId="1" r:id="rId6"/>
  </sheets>
  <definedNames>
    <definedName name="_xlnm._FilterDatabase" localSheetId="1" hidden="1">Zał.Nr2!$M$1:$M$77</definedName>
    <definedName name="_xlnm.Print_Area" localSheetId="0">Zał.Nr1!$A$1:$H$193</definedName>
    <definedName name="_xlnm.Print_Area" localSheetId="1">Zał.Nr2!$A$2:$M$77</definedName>
    <definedName name="_xlnm.Print_Area" localSheetId="3">Zał.Nr4!$A$1:$D$37</definedName>
    <definedName name="_xlnm.Print_Titles" localSheetId="0">Zał.Nr1!$7:$9</definedName>
    <definedName name="_xlnm.Print_Titles" localSheetId="1">Zał.Nr2!$11:$18</definedName>
    <definedName name="_xlnm.Print_Titles" localSheetId="4">Zał.Nr5!$36:$36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31" l="1"/>
  <c r="F136" i="31"/>
  <c r="F126" i="31"/>
  <c r="F124" i="31"/>
  <c r="F122" i="31"/>
  <c r="F114" i="31"/>
  <c r="F111" i="31"/>
  <c r="F105" i="31"/>
  <c r="F90" i="31"/>
  <c r="F83" i="31"/>
  <c r="F78" i="31"/>
  <c r="F75" i="31"/>
  <c r="F64" i="31"/>
  <c r="F62" i="31"/>
  <c r="F60" i="31"/>
  <c r="F45" i="31"/>
  <c r="F43" i="31"/>
  <c r="F37" i="31"/>
  <c r="F140" i="31" s="1"/>
  <c r="F33" i="31"/>
  <c r="F31" i="31"/>
  <c r="F30" i="31"/>
  <c r="F27" i="31"/>
  <c r="F26" i="31"/>
  <c r="F25" i="31"/>
  <c r="F24" i="31"/>
  <c r="F23" i="31"/>
  <c r="F22" i="31" s="1"/>
  <c r="F21" i="31"/>
  <c r="F19" i="31"/>
  <c r="F18" i="31"/>
  <c r="F17" i="31"/>
  <c r="F16" i="31"/>
  <c r="F15" i="31"/>
  <c r="F14" i="31"/>
  <c r="F13" i="31"/>
  <c r="F12" i="31"/>
  <c r="F11" i="31"/>
  <c r="D30" i="30"/>
  <c r="D29" i="30"/>
  <c r="D24" i="30"/>
  <c r="D17" i="30"/>
  <c r="D15" i="30"/>
  <c r="D11" i="30"/>
  <c r="F34" i="31" l="1"/>
  <c r="F141" i="31" s="1"/>
  <c r="D23" i="30"/>
  <c r="H192" i="27"/>
  <c r="G191" i="27"/>
  <c r="F191" i="27"/>
  <c r="H190" i="27"/>
  <c r="G189" i="27"/>
  <c r="F189" i="27"/>
  <c r="H189" i="27" s="1"/>
  <c r="G188" i="27"/>
  <c r="G187" i="27" s="1"/>
  <c r="H186" i="27"/>
  <c r="G185" i="27"/>
  <c r="G184" i="27" s="1"/>
  <c r="F185" i="27"/>
  <c r="H185" i="27" s="1"/>
  <c r="H182" i="27"/>
  <c r="H181" i="27"/>
  <c r="H180" i="27"/>
  <c r="H179" i="27"/>
  <c r="H178" i="27"/>
  <c r="H177" i="27"/>
  <c r="H176" i="27"/>
  <c r="H175" i="27"/>
  <c r="H174" i="27"/>
  <c r="H173" i="27"/>
  <c r="H172" i="27"/>
  <c r="G172" i="27"/>
  <c r="F172" i="27"/>
  <c r="G171" i="27"/>
  <c r="G170" i="27" s="1"/>
  <c r="F171" i="27"/>
  <c r="F170" i="27" s="1"/>
  <c r="H170" i="27" s="1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G154" i="27"/>
  <c r="F154" i="27"/>
  <c r="G153" i="27"/>
  <c r="H153" i="27" s="1"/>
  <c r="G152" i="27"/>
  <c r="F152" i="27"/>
  <c r="F151" i="27"/>
  <c r="H148" i="27"/>
  <c r="G147" i="27"/>
  <c r="G146" i="27" s="1"/>
  <c r="F147" i="27"/>
  <c r="H145" i="27"/>
  <c r="H144" i="27"/>
  <c r="G144" i="27"/>
  <c r="F144" i="27"/>
  <c r="G143" i="27"/>
  <c r="F143" i="27"/>
  <c r="H141" i="27"/>
  <c r="G140" i="27"/>
  <c r="G139" i="27" s="1"/>
  <c r="F140" i="27"/>
  <c r="H138" i="27"/>
  <c r="G137" i="27"/>
  <c r="F137" i="27"/>
  <c r="H137" i="27" s="1"/>
  <c r="H136" i="27"/>
  <c r="H135" i="27"/>
  <c r="H134" i="27"/>
  <c r="H133" i="27"/>
  <c r="G132" i="27"/>
  <c r="G131" i="27" s="1"/>
  <c r="F132" i="27"/>
  <c r="H130" i="27"/>
  <c r="G129" i="27"/>
  <c r="H128" i="27"/>
  <c r="F127" i="27"/>
  <c r="H125" i="27"/>
  <c r="G124" i="27"/>
  <c r="G123" i="27" s="1"/>
  <c r="F124" i="27"/>
  <c r="H121" i="27"/>
  <c r="H120" i="27"/>
  <c r="G119" i="27"/>
  <c r="F119" i="27"/>
  <c r="H119" i="27" s="1"/>
  <c r="G118" i="27"/>
  <c r="H116" i="27"/>
  <c r="G115" i="27"/>
  <c r="G114" i="27" s="1"/>
  <c r="G113" i="27" s="1"/>
  <c r="F115" i="27"/>
  <c r="H112" i="27"/>
  <c r="H111" i="27"/>
  <c r="G110" i="27"/>
  <c r="G109" i="27" s="1"/>
  <c r="G108" i="27" s="1"/>
  <c r="F110" i="27"/>
  <c r="G107" i="27"/>
  <c r="G106" i="27" s="1"/>
  <c r="H106" i="27" s="1"/>
  <c r="F106" i="27"/>
  <c r="F105" i="27"/>
  <c r="H104" i="27"/>
  <c r="H103" i="27"/>
  <c r="G102" i="27"/>
  <c r="F102" i="27"/>
  <c r="H102" i="27" s="1"/>
  <c r="G101" i="27"/>
  <c r="H99" i="27"/>
  <c r="H98" i="27"/>
  <c r="G97" i="27"/>
  <c r="G96" i="27" s="1"/>
  <c r="F97" i="27"/>
  <c r="H97" i="27" s="1"/>
  <c r="H94" i="27"/>
  <c r="G93" i="27"/>
  <c r="F93" i="27"/>
  <c r="H93" i="27" s="1"/>
  <c r="H92" i="27"/>
  <c r="G91" i="27"/>
  <c r="F91" i="27"/>
  <c r="H90" i="27"/>
  <c r="H89" i="27"/>
  <c r="G88" i="27"/>
  <c r="F88" i="27"/>
  <c r="F87" i="27"/>
  <c r="H85" i="27"/>
  <c r="H84" i="27"/>
  <c r="G83" i="27"/>
  <c r="G82" i="27" s="1"/>
  <c r="F83" i="27"/>
  <c r="F81" i="27"/>
  <c r="H81" i="27" s="1"/>
  <c r="H80" i="27"/>
  <c r="F80" i="27"/>
  <c r="G79" i="27"/>
  <c r="G78" i="27" s="1"/>
  <c r="G77" i="27" s="1"/>
  <c r="F79" i="27"/>
  <c r="H76" i="27"/>
  <c r="G75" i="27"/>
  <c r="F75" i="27"/>
  <c r="H75" i="27" s="1"/>
  <c r="G74" i="27"/>
  <c r="H73" i="27"/>
  <c r="G72" i="27"/>
  <c r="F72" i="27"/>
  <c r="F71" i="27" s="1"/>
  <c r="G70" i="27"/>
  <c r="F70" i="27"/>
  <c r="H70" i="27" s="1"/>
  <c r="G69" i="27"/>
  <c r="G68" i="27" s="1"/>
  <c r="H67" i="27"/>
  <c r="H66" i="27"/>
  <c r="H65" i="27"/>
  <c r="G65" i="27"/>
  <c r="F65" i="27"/>
  <c r="H64" i="27"/>
  <c r="H63" i="27"/>
  <c r="G63" i="27"/>
  <c r="F63" i="27"/>
  <c r="F62" i="27" s="1"/>
  <c r="H62" i="27" s="1"/>
  <c r="G62" i="27"/>
  <c r="H58" i="27"/>
  <c r="H57" i="27"/>
  <c r="H56" i="27"/>
  <c r="G56" i="27"/>
  <c r="F56" i="27"/>
  <c r="G55" i="27"/>
  <c r="G54" i="27" s="1"/>
  <c r="F55" i="27"/>
  <c r="H53" i="27"/>
  <c r="H52" i="27"/>
  <c r="G51" i="27"/>
  <c r="F51" i="27"/>
  <c r="F50" i="27" s="1"/>
  <c r="F49" i="27" s="1"/>
  <c r="H47" i="27"/>
  <c r="G46" i="27"/>
  <c r="G45" i="27" s="1"/>
  <c r="G44" i="27" s="1"/>
  <c r="F46" i="27"/>
  <c r="H43" i="27"/>
  <c r="H42" i="27"/>
  <c r="H41" i="27"/>
  <c r="G41" i="27"/>
  <c r="F41" i="27"/>
  <c r="F40" i="27" s="1"/>
  <c r="F39" i="27" s="1"/>
  <c r="G40" i="27"/>
  <c r="G39" i="27" s="1"/>
  <c r="H38" i="27"/>
  <c r="H37" i="27"/>
  <c r="G36" i="27"/>
  <c r="G35" i="27" s="1"/>
  <c r="G34" i="27" s="1"/>
  <c r="F36" i="27"/>
  <c r="F35" i="27"/>
  <c r="F34" i="27"/>
  <c r="H33" i="27"/>
  <c r="G32" i="27"/>
  <c r="G31" i="27" s="1"/>
  <c r="F32" i="27"/>
  <c r="G30" i="27"/>
  <c r="H29" i="27"/>
  <c r="G28" i="27"/>
  <c r="G27" i="27" s="1"/>
  <c r="G26" i="27" s="1"/>
  <c r="F28" i="27"/>
  <c r="F27" i="27"/>
  <c r="F26" i="27"/>
  <c r="H25" i="27"/>
  <c r="G24" i="27"/>
  <c r="G23" i="27" s="1"/>
  <c r="F24" i="27"/>
  <c r="G22" i="27"/>
  <c r="H21" i="27"/>
  <c r="G20" i="27"/>
  <c r="F20" i="27"/>
  <c r="H20" i="27" s="1"/>
  <c r="H19" i="27"/>
  <c r="H18" i="27"/>
  <c r="G17" i="27"/>
  <c r="H17" i="27" s="1"/>
  <c r="F17" i="27"/>
  <c r="H16" i="27"/>
  <c r="H15" i="27"/>
  <c r="G14" i="27"/>
  <c r="G13" i="27" s="1"/>
  <c r="G12" i="27" s="1"/>
  <c r="G11" i="27" s="1"/>
  <c r="F14" i="27"/>
  <c r="D10" i="30" l="1"/>
  <c r="H132" i="27"/>
  <c r="F96" i="27"/>
  <c r="F95" i="27" s="1"/>
  <c r="H191" i="27"/>
  <c r="H74" i="27"/>
  <c r="H40" i="27"/>
  <c r="F74" i="27"/>
  <c r="H91" i="27"/>
  <c r="H110" i="27"/>
  <c r="F118" i="27"/>
  <c r="F117" i="27" s="1"/>
  <c r="H124" i="27"/>
  <c r="H147" i="27"/>
  <c r="F184" i="27"/>
  <c r="F183" i="27" s="1"/>
  <c r="F188" i="27"/>
  <c r="H188" i="27" s="1"/>
  <c r="H26" i="27"/>
  <c r="H129" i="27"/>
  <c r="G127" i="27"/>
  <c r="G126" i="27" s="1"/>
  <c r="G122" i="27" s="1"/>
  <c r="H24" i="27"/>
  <c r="F23" i="27"/>
  <c r="H28" i="27"/>
  <c r="H39" i="27"/>
  <c r="F86" i="27"/>
  <c r="G105" i="27"/>
  <c r="F139" i="27"/>
  <c r="H139" i="27" s="1"/>
  <c r="H140" i="27"/>
  <c r="F150" i="27"/>
  <c r="H152" i="27"/>
  <c r="G151" i="27"/>
  <c r="G150" i="27" s="1"/>
  <c r="H14" i="27"/>
  <c r="F13" i="27"/>
  <c r="H32" i="27"/>
  <c r="F31" i="27"/>
  <c r="H35" i="27"/>
  <c r="H36" i="27"/>
  <c r="G95" i="27"/>
  <c r="H96" i="27"/>
  <c r="G117" i="27"/>
  <c r="H117" i="27" s="1"/>
  <c r="F126" i="27"/>
  <c r="H127" i="27"/>
  <c r="H143" i="27"/>
  <c r="G142" i="27"/>
  <c r="H184" i="27"/>
  <c r="G183" i="27"/>
  <c r="G71" i="27"/>
  <c r="H71" i="27" s="1"/>
  <c r="H72" i="27"/>
  <c r="H95" i="27"/>
  <c r="H27" i="27"/>
  <c r="H34" i="27"/>
  <c r="H46" i="27"/>
  <c r="F45" i="27"/>
  <c r="H51" i="27"/>
  <c r="G50" i="27"/>
  <c r="G49" i="27" s="1"/>
  <c r="G48" i="27" s="1"/>
  <c r="G10" i="27" s="1"/>
  <c r="H55" i="27"/>
  <c r="F54" i="27"/>
  <c r="H54" i="27" s="1"/>
  <c r="F78" i="27"/>
  <c r="H79" i="27"/>
  <c r="H83" i="27"/>
  <c r="F82" i="27"/>
  <c r="H82" i="27" s="1"/>
  <c r="H115" i="27"/>
  <c r="F114" i="27"/>
  <c r="H88" i="27"/>
  <c r="G87" i="27"/>
  <c r="G86" i="27" s="1"/>
  <c r="F69" i="27"/>
  <c r="F101" i="27"/>
  <c r="H107" i="27"/>
  <c r="F109" i="27"/>
  <c r="F123" i="27"/>
  <c r="F146" i="27"/>
  <c r="H171" i="27"/>
  <c r="F187" i="27"/>
  <c r="H187" i="27" s="1"/>
  <c r="F131" i="27"/>
  <c r="H131" i="27" s="1"/>
  <c r="H118" i="27" l="1"/>
  <c r="H151" i="27"/>
  <c r="F48" i="27"/>
  <c r="H48" i="27" s="1"/>
  <c r="H183" i="27"/>
  <c r="H150" i="27"/>
  <c r="F149" i="27"/>
  <c r="F108" i="27"/>
  <c r="H108" i="27" s="1"/>
  <c r="H109" i="27"/>
  <c r="H50" i="27"/>
  <c r="F44" i="27"/>
  <c r="H44" i="27" s="1"/>
  <c r="H45" i="27"/>
  <c r="H126" i="27"/>
  <c r="F30" i="27"/>
  <c r="H30" i="27" s="1"/>
  <c r="H31" i="27"/>
  <c r="H87" i="27"/>
  <c r="F22" i="27"/>
  <c r="H22" i="27" s="1"/>
  <c r="H23" i="27"/>
  <c r="H49" i="27"/>
  <c r="F142" i="27"/>
  <c r="H142" i="27" s="1"/>
  <c r="H146" i="27"/>
  <c r="F100" i="27"/>
  <c r="H101" i="27"/>
  <c r="H78" i="27"/>
  <c r="F77" i="27"/>
  <c r="H77" i="27" s="1"/>
  <c r="F122" i="27"/>
  <c r="H122" i="27" s="1"/>
  <c r="H123" i="27"/>
  <c r="F68" i="27"/>
  <c r="H69" i="27"/>
  <c r="G61" i="27"/>
  <c r="F12" i="27"/>
  <c r="H13" i="27"/>
  <c r="H105" i="27"/>
  <c r="G100" i="27"/>
  <c r="H114" i="27"/>
  <c r="F113" i="27"/>
  <c r="H113" i="27" s="1"/>
  <c r="G149" i="27"/>
  <c r="H86" i="27"/>
  <c r="H100" i="27" l="1"/>
  <c r="F11" i="27"/>
  <c r="H12" i="27"/>
  <c r="H149" i="27"/>
  <c r="G60" i="27"/>
  <c r="G59" i="27" s="1"/>
  <c r="H68" i="27"/>
  <c r="F61" i="27"/>
  <c r="H61" i="27" l="1"/>
  <c r="F60" i="27"/>
  <c r="F10" i="27"/>
  <c r="H11" i="27"/>
  <c r="H60" i="27" l="1"/>
  <c r="F59" i="27"/>
  <c r="H10" i="27"/>
  <c r="H59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Pinkowski</author>
    <author>Renata Siedlecka</author>
  </authors>
  <commentList>
    <comment ref="J28" authorId="0" shapeId="0" xr:uid="{66C7B4DA-5535-4A4E-8FB9-8C319E93261A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Rządowy Fundusz Rozwoju Dróg</t>
        </r>
      </text>
    </comment>
    <comment ref="D68" authorId="1" shapeId="0" xr:uid="{E5D0DB25-6565-4D8C-8B6C-782464703FBA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wkład własny dla COnDz 
 z dofinansowaniem PFRON w wys. 123.500,00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  <author>Małgorzata Pinkowski</author>
  </authors>
  <commentList>
    <comment ref="B29" authorId="0" shapeId="0" xr:uid="{371BA27E-6164-4E3A-B013-4837B1628841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DT</t>
        </r>
      </text>
    </comment>
    <comment ref="D31" authorId="1" shapeId="0" xr:uid="{AEB26495-B9A1-4C8A-8D07-E81BE4BEE87F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łączne nakłady bez zmian</t>
        </r>
      </text>
    </comment>
  </commentList>
</comments>
</file>

<file path=xl/sharedStrings.xml><?xml version="1.0" encoding="utf-8"?>
<sst xmlns="http://schemas.openxmlformats.org/spreadsheetml/2006/main" count="688" uniqueCount="437">
  <si>
    <t>Załącznik Nr 1</t>
  </si>
  <si>
    <t>RADY MIASTA WŁOCŁAWEK</t>
  </si>
  <si>
    <t>w złotych</t>
  </si>
  <si>
    <t>Rozdz.</t>
  </si>
  <si>
    <t>§</t>
  </si>
  <si>
    <t>zwiększyć</t>
  </si>
  <si>
    <t>zmniejszyć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</si>
  <si>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</si>
  <si>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</si>
  <si>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</si>
  <si>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</si>
  <si>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</si>
  <si>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</si>
  <si>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</si>
  <si>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</si>
  <si>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</si>
  <si>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</si>
  <si>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</si>
  <si>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</si>
  <si>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</si>
  <si>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</si>
  <si>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</si>
  <si>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</si>
  <si>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</si>
  <si>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</si>
  <si>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</si>
  <si>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</si>
  <si>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</si>
  <si>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</si>
  <si>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</si>
  <si>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</si>
  <si>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</si>
  <si>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</si>
  <si>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</si>
  <si>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</si>
  <si>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</si>
  <si>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</si>
  <si>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</si>
  <si>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</si>
  <si>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</si>
  <si>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Lp.</t>
  </si>
  <si>
    <t>w tym:</t>
  </si>
  <si>
    <t xml:space="preserve">
</t>
  </si>
  <si>
    <t xml:space="preserve">Wydatki
</t>
  </si>
  <si>
    <t>w okresie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</si>
  <si>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</si>
  <si>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</si>
  <si>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</si>
  <si>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</si>
  <si>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</si>
  <si>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</si>
  <si>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</si>
  <si>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</si>
  <si>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</si>
  <si>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</si>
  <si>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</si>
  <si>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</si>
  <si>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</si>
  <si>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</si>
  <si>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* środki własne jst, współfinansowanie z budżetu państwa oraz inne</t>
  </si>
  <si>
    <t>Plan</t>
  </si>
  <si>
    <t>Dz.</t>
  </si>
  <si>
    <t>T r e ś ć</t>
  </si>
  <si>
    <t>przed zmianą</t>
  </si>
  <si>
    <t>po zmianach</t>
  </si>
  <si>
    <t>WYDATKI OGÓŁEM:</t>
  </si>
  <si>
    <t>Transport i łączność</t>
  </si>
  <si>
    <t>wydatki inwestycyjne jednostek budżetowych</t>
  </si>
  <si>
    <t>Załącznik Nr 3</t>
  </si>
  <si>
    <t>Zmiana wydatków na programy i projekty realizowane ze środków pochodzących z funduszy strukturalnych i Funduszu Spójności</t>
  </si>
  <si>
    <t>1</t>
  </si>
  <si>
    <t>Zmiany w budżecie miasta Włocławek na 2026 rok</t>
  </si>
  <si>
    <t>DOCHODY OGÓŁEM:</t>
  </si>
  <si>
    <t>Dochody na zadania własne gminy:</t>
  </si>
  <si>
    <t>Wydatki na zadania własne gminy:</t>
  </si>
  <si>
    <t xml:space="preserve">Miejski Zarząd Dróg i Zieleni </t>
  </si>
  <si>
    <t>Wydatki na zadania własne powiatu:</t>
  </si>
  <si>
    <t>Drogi publiczne w miastach na prawach powiatu</t>
  </si>
  <si>
    <t>Zmiana planu wydatków majątkowych na 2026 rok</t>
  </si>
  <si>
    <t>(6+7+8)</t>
  </si>
  <si>
    <t>TRANSPORT I  ŁĄCZNOŚĆ</t>
  </si>
  <si>
    <t>Miejski Zarząd Dróg i Zieleni</t>
  </si>
  <si>
    <t xml:space="preserve"> FUNDUSZE EUROPEJSKIE DLA KUJAW I POMORZA 2021 -  2027</t>
  </si>
  <si>
    <t>2026 rok</t>
  </si>
  <si>
    <t>Polsko-Szwajcarski Program Rozwoju Miast</t>
  </si>
  <si>
    <t>Lokalny transport zbiorowy</t>
  </si>
  <si>
    <t>Drogi publiczne gminne</t>
  </si>
  <si>
    <t>Miejski Zarząd Dróg i Zieleni - "Budowa i przebudowa dróg rowerowych na terenie miasta Włocławek II ETAP"</t>
  </si>
  <si>
    <t>6058    6059</t>
  </si>
  <si>
    <t>Budowa i przebudowa dróg rowerowych na terenie miasta Włocławek II ETAP</t>
  </si>
  <si>
    <t>FEKiP</t>
  </si>
  <si>
    <t>Budowa drogi gminnej łączącej ulicę Polną z ulicą Żytnią wraz z budową ronda na skrzyżowaniu ulic Zielnej i Polnej</t>
  </si>
  <si>
    <t>RFRD</t>
  </si>
  <si>
    <t>Przebudowa/rekonstrukcja dróg gminnych</t>
  </si>
  <si>
    <t>w tym: /Miejski Zarząd Dróg i Zieleni/</t>
  </si>
  <si>
    <t>dz. 600</t>
  </si>
  <si>
    <t>rozdz. 60015</t>
  </si>
  <si>
    <t>1.4</t>
  </si>
  <si>
    <t>rozdz. 60004</t>
  </si>
  <si>
    <t>Wydział Dróg, Transportu Zbiorowego i Energii</t>
  </si>
  <si>
    <t>0940</t>
  </si>
  <si>
    <t>wpływy z rozliczeń/zwrotów z lat ubiegłych</t>
  </si>
  <si>
    <t>0949</t>
  </si>
  <si>
    <t>Wydział Inwestycji i Zamówień Publicznych</t>
  </si>
  <si>
    <t>0948</t>
  </si>
  <si>
    <t>Organ - zadanie pn. "Rozwój zeroemisyjnego transportu publicznego we Włocławku poprzez zakup zeroemisyjnego transportu wraz z niezbędną infrastrukturą - etap II"</t>
  </si>
  <si>
    <t>6257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</si>
  <si>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</si>
  <si>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Działalność usługowa</t>
  </si>
  <si>
    <t>Cmentarze</t>
  </si>
  <si>
    <t>Wydział Nadzoru Właścicielskiego i Gospodarki Komunalnej</t>
  </si>
  <si>
    <t>Administracja publiczna</t>
  </si>
  <si>
    <t>75023</t>
  </si>
  <si>
    <t>Urzędy gmin (miast i miast na prawach powiatu)</t>
  </si>
  <si>
    <t>Wydział Organizacyjno - Prawny i Kadr</t>
  </si>
  <si>
    <t>0870</t>
  </si>
  <si>
    <t>wpływy ze sprzedaży składników majątkowych</t>
  </si>
  <si>
    <t>Bezpieczeństwo publiczne i ochrona przeciwpożarowa</t>
  </si>
  <si>
    <t>Straż gminna (miejska)</t>
  </si>
  <si>
    <t>Organ</t>
  </si>
  <si>
    <t>0960</t>
  </si>
  <si>
    <t>wpływy z otrzymanych spadków, zapisów i darowizn w postaci pieniężnej</t>
  </si>
  <si>
    <t>Oświata i wychowanie</t>
  </si>
  <si>
    <t>Szkoły podstawowe</t>
  </si>
  <si>
    <t>Jednostki oświatowe zbiorczo</t>
  </si>
  <si>
    <t>0970</t>
  </si>
  <si>
    <t>Rodzina</t>
  </si>
  <si>
    <t>System opieki nad dziećmi w wieku do lat 3</t>
  </si>
  <si>
    <t>2690</t>
  </si>
  <si>
    <t>środki z Funduszu Pracy otrzymane na realizację zadań wynikających z odrębnych ustaw</t>
  </si>
  <si>
    <t>6350</t>
  </si>
  <si>
    <t>środki otrzymane z państwowych funduszy celowych na finansowanie lub dofinansowanie kosztów realizacji inwestycji i zakupów inwestycyjnych jednostek sektora finansów publicznych</t>
  </si>
  <si>
    <t>Gospodarka komunalna i ochrona środowiska</t>
  </si>
  <si>
    <t>Ochrona powietrza atmosferycznego i klimatu</t>
  </si>
  <si>
    <t>2460</t>
  </si>
  <si>
    <t>środki otrzymane od pozostałych jednostek zaliczanych do sektora finansów publicznych na realizację zadań bieżących jednostek zaliczanych do sektora finansów publicznych</t>
  </si>
  <si>
    <t>Dochody na zadania własne powiatu:</t>
  </si>
  <si>
    <t>Organ - zadanie pn. "Budowa i przebudowa dróg rowerowych na terenie miasta Włocławek II ETAP"</t>
  </si>
  <si>
    <t>2058</t>
  </si>
  <si>
    <t>6258</t>
  </si>
  <si>
    <t>Pozostała działalność</t>
  </si>
  <si>
    <t>Organ - zadanie pn. "Zwiększenie i dostosowanie oferty kwalifikacyjnych kursów zawodowych dla potrzeb lokalnego rynku pracy" w ramach projektu pn. "Włocławek – Miasto dobrego klimatu dla gospodarki, środowiska i wygodnego życia"</t>
  </si>
  <si>
    <t>2006</t>
  </si>
  <si>
    <t>dotacja celowa w ramach programów finansowanych z udziałem środków europejskich oraz środków, o których mowa w art. 5 ust. 1 pkt 3 oraz ust. 3 pkt 5 i 6 ustawy, lub płatności w ramach budżetu środków europejskich, z wyłączeniem dochodów klasyfikowanych w paragrafie 205</t>
  </si>
  <si>
    <t>2007</t>
  </si>
  <si>
    <t>zakup usług pozostałych</t>
  </si>
  <si>
    <t>Wydział Dróg, Transportu Zbiorowego i Energii - zadanie pn. "Rozwój zeroemisyjnego transportu publicznego we Włocławku poprzez zakup zeroemisyjnego transportu wraz z niezbędną infrastrukturą  - etap II"</t>
  </si>
  <si>
    <t>Drogi wewnętrzne</t>
  </si>
  <si>
    <t>Płatne parkowanie</t>
  </si>
  <si>
    <t>Gospodarka mieszkaniowa</t>
  </si>
  <si>
    <t>Gospodarowanie mieszkaniowym zasobem gminy</t>
  </si>
  <si>
    <t>Administracja Zasobów Komunalnych</t>
  </si>
  <si>
    <t xml:space="preserve">różne opłaty i składki </t>
  </si>
  <si>
    <t>Miejski Zarząd Dróg i Zieleni - zadanie pn. "Zielone tereny Śródmieścia miasta Włocławek"</t>
  </si>
  <si>
    <t>Straż Miejska</t>
  </si>
  <si>
    <t>4210</t>
  </si>
  <si>
    <t>zakup materiałów i wyposażenia</t>
  </si>
  <si>
    <t>zakup środków dydaktycznych i książek</t>
  </si>
  <si>
    <t>851</t>
  </si>
  <si>
    <t>Ochrona zdrowia</t>
  </si>
  <si>
    <t>85195</t>
  </si>
  <si>
    <t>Wydział Rozwoju Miasta - zadanie pn. "Dotacja celowa na zakup systemu tomografii komputerowej do badań całego ciała" w ramach projektu pn. "Włocławek – Miasto dobrego klimatu dla gospodarki, środowiska i wygodnego życia"</t>
  </si>
  <si>
    <t>6306</t>
  </si>
  <si>
    <t>dotacja celowa na pomoc finansową udzielaną między jednostkami samorządu terytorialnego na dofinansowanie własnych zadań inwestycyjnych i zakupów inwestycyjnych</t>
  </si>
  <si>
    <t>6307</t>
  </si>
  <si>
    <t>Pomoc społeczna</t>
  </si>
  <si>
    <t>Domy pomocy społecznej</t>
  </si>
  <si>
    <t>Dom Pomocy Społecznej ul. Nowomiejska 19</t>
  </si>
  <si>
    <t>wydatki na zakupy inwestycyjne jednostek budżetowych</t>
  </si>
  <si>
    <t>Miejski Zespół Żłobków</t>
  </si>
  <si>
    <t>Gospodarka ściekowa i ochrona wód</t>
  </si>
  <si>
    <t>dotacje celowe z budżetu na finansowanie lub dofinansowanie kosztów realizacji inwestycji i zakupów inwestycyjnych jednostek niezaliczanych do sektora finansów publicznych</t>
  </si>
  <si>
    <t>Gospodarka odpadami komunalnymi</t>
  </si>
  <si>
    <t xml:space="preserve">zakup usług obejmujących wykonanie ekspertyz, analiz i opinii </t>
  </si>
  <si>
    <t>kary i odszkodowania wypłacane na rzecz osób prawnych i innych jednostek organizacyjnych</t>
  </si>
  <si>
    <t>wynagrodzenia osobowe pracowników</t>
  </si>
  <si>
    <t xml:space="preserve">składki na ubezpieczenia społeczne </t>
  </si>
  <si>
    <t xml:space="preserve">składki na Fundusz Pracy oraz Fundusz Solidarnościowy </t>
  </si>
  <si>
    <t>wpłaty na PPK finansowane przez podmiot zatrudniający</t>
  </si>
  <si>
    <t>Miejski Ośrodek Pomocy Rodzinie</t>
  </si>
  <si>
    <t>Oświetlenie ulic, placów i dróg</t>
  </si>
  <si>
    <t>zakup energii</t>
  </si>
  <si>
    <t xml:space="preserve">Kultura fizyczna </t>
  </si>
  <si>
    <t>Instytucje kultury fizycznej</t>
  </si>
  <si>
    <t>Ośrodek Sportu i Rekreacji</t>
  </si>
  <si>
    <t>Wydział Sportu</t>
  </si>
  <si>
    <t>nagrody o charakterze szczególnym  niezaliczone do wynagrodzeń</t>
  </si>
  <si>
    <t xml:space="preserve">wynagrodzenia osobowe pracowników </t>
  </si>
  <si>
    <t>dodatkowe wynagrodzenie roczne</t>
  </si>
  <si>
    <t xml:space="preserve">składki na ubezpieczenie społeczne </t>
  </si>
  <si>
    <t>składki na Fundusz Pracy oraz Fundusz Solidarnościowy</t>
  </si>
  <si>
    <t>4218</t>
  </si>
  <si>
    <t>4219</t>
  </si>
  <si>
    <t>Centrum Kształcenia Zawodowego i Ustawicznego - zadanie pn. "Zwiększenie i dostosowanie oferty kwalifikacyjnych kursów zawodowych dla potrzeb lokalnego rynku pracy" w ramach projektu pn. "Włocławek – Miasto dobrego klimatu dla gospodarki, środowiska i wygodnego życia"</t>
  </si>
  <si>
    <t>składki na ubezpieczenia społeczne</t>
  </si>
  <si>
    <t xml:space="preserve">wynagrodzenia osobowe nauczycieli </t>
  </si>
  <si>
    <t>Edukacyjna opieka wychowawcza</t>
  </si>
  <si>
    <t>Internaty i bursy szkolne</t>
  </si>
  <si>
    <t>Działalność placówek opiekuńczo - wychowawczych</t>
  </si>
  <si>
    <t>Wydział Edukacji, Zdrowia i Polityki Społecznej</t>
  </si>
  <si>
    <t xml:space="preserve">Centrum Opieki nad Dzieckiem </t>
  </si>
  <si>
    <t>z dnia 26 maja 2026 r.</t>
  </si>
  <si>
    <t>6057 / 6059</t>
  </si>
  <si>
    <t xml:space="preserve">Rozwój zeroemisyjnego transportu publicznego we Włocławku poprzez zakup zeroemisyjnego transportu wraz z niezbędną infrastrukturą - etap II </t>
  </si>
  <si>
    <t>Urząd Miasta / Wydział Dróg, Transportu Zbiorowego i Energii</t>
  </si>
  <si>
    <t>WPF 2024-2026</t>
  </si>
  <si>
    <t>KPO</t>
  </si>
  <si>
    <t xml:space="preserve">Budowa tunelu w ciągu ul. Wienieckiej </t>
  </si>
  <si>
    <t>WPF 2020-2028</t>
  </si>
  <si>
    <t>WPF 2025-2026</t>
  </si>
  <si>
    <t>Przebudowa/rekonstrukcja dróg powiatowych</t>
  </si>
  <si>
    <t xml:space="preserve">Budowa ul. Energetyków na odcinku od ul. Hutniczej do przejścia podziemnego dla pieszych pod torami kolejowymi </t>
  </si>
  <si>
    <t>WPF 2022-2026</t>
  </si>
  <si>
    <t xml:space="preserve">Budowa ul. Energetyków na odcinku od ul. Zdrojowej do ul. Hutniczej </t>
  </si>
  <si>
    <t>Budowa / przebudowa dróg wewnętrznych</t>
  </si>
  <si>
    <t>GOSPODARKA MIESZKANIOWA</t>
  </si>
  <si>
    <t xml:space="preserve">Gospodarowanie mieszkaniowym zasobem gminy </t>
  </si>
  <si>
    <t>Termomodernizacja budynków mieszkalnych (w tym budynki w obszarze rewitalizacji)</t>
  </si>
  <si>
    <t>FD BGK</t>
  </si>
  <si>
    <t>Przebudowa kamienicy przy ul. Maślanej 4/6</t>
  </si>
  <si>
    <t>Urząd Miasta /Wydział Inwestycji i Zamówień Publicznych</t>
  </si>
  <si>
    <t>WPF 2019-2026</t>
  </si>
  <si>
    <t>ADMINISTRACJA PUBLICZNA</t>
  </si>
  <si>
    <t>wprowadza się nowe zadanie:</t>
  </si>
  <si>
    <t>§ 6050</t>
  </si>
  <si>
    <t>Budowa przyłącza energetycznego przy ul. Celulozowej celem zasilenia działki nr 24/100 i 24/124</t>
  </si>
  <si>
    <t xml:space="preserve">Ciągi komunikacyjne poza pasami drogowymi </t>
  </si>
  <si>
    <t>6058   6059</t>
  </si>
  <si>
    <t>Zielone tereny Śródmieścia miasta Włocławek</t>
  </si>
  <si>
    <t>FEdlaKiP</t>
  </si>
  <si>
    <t>OŚWIATA I WYCHOWANIE</t>
  </si>
  <si>
    <t>Program dostosowania placówek oświatowych do przepisów przeciwpożarowych</t>
  </si>
  <si>
    <t xml:space="preserve">Przebudowa budynków oświatowych wraz z infrastrukturą towarzyszącą </t>
  </si>
  <si>
    <t>OCHRONA ZDROWIA</t>
  </si>
  <si>
    <t>zmiana nazwy zadania z:</t>
  </si>
  <si>
    <t>6306
6307</t>
  </si>
  <si>
    <t>Dotacja celowa na zakup systemu tomografii komputerowej do badań całego ciała</t>
  </si>
  <si>
    <t>Urząd Miasta /Wydział Rozwoju Miasta</t>
  </si>
  <si>
    <t>na zadanie:</t>
  </si>
  <si>
    <t>Dotacja celowa na zakup tomografu komputerowego z wyposażeniem wraz z adaptacją pomieszczeń</t>
  </si>
  <si>
    <t>POMOC SPOŁECZNA</t>
  </si>
  <si>
    <t>Zakup zintegrowanego systemu do higieny osobistej i transportu osób niesamodzielnych, unieruchomionych w łóżku</t>
  </si>
  <si>
    <t>Dom Pomocy Społecznej Nowomiejska 19</t>
  </si>
  <si>
    <t>§ 6060</t>
  </si>
  <si>
    <t>Zakup auta służbowego typu furgon do przewozu żywności</t>
  </si>
  <si>
    <t xml:space="preserve">Edukacyjna opieka wychowawcza </t>
  </si>
  <si>
    <t>Adaptacja pomieszczeń budynku Bursy Szkolnej nr 3 przy ul. Chopina 6 we Włocławku na salę sportów walki</t>
  </si>
  <si>
    <t>Przebudowa pomieszczeń budynku Bursy Szkolnej nr 3 przy ul. Chopina 6 we Włocławku i adaptacja na pomieszczenia magazynowe, pełniące w czasach pokoju funkcję sali sportów walki</t>
  </si>
  <si>
    <t>Działalność placówek opiekuńczo-wychowawczych</t>
  </si>
  <si>
    <t>Zakup 9 - osobowego mikrobusu przystosowanego do przewozu osób niepełnosprawnych dla placówek opiekuńczo - wychowawczych we Włocławku</t>
  </si>
  <si>
    <t>Modernizacja i doposażenie placu zabaw położonego na terenie Żłobka przy ul. Żytniej 80 we Włocławku, wchodzącego w skład Miejskiego Zespołu Żłobków we Włocławku</t>
  </si>
  <si>
    <t xml:space="preserve"> </t>
  </si>
  <si>
    <t>GOSPODARKA KOMUNALNA I OCHRONA ŚRODOWISKA</t>
  </si>
  <si>
    <t>§ 6230</t>
  </si>
  <si>
    <t>Dofinansowanie przyłączy kanalizacyjnych do nieruchomości</t>
  </si>
  <si>
    <t>Urząd Miasta /Wydział Nadzoru Właścicielskiego i Gospodarki Komunalnej</t>
  </si>
  <si>
    <t>Budowa PSZOK</t>
  </si>
  <si>
    <t>1.7</t>
  </si>
  <si>
    <t>dz. 750</t>
  </si>
  <si>
    <t>rozdz. 75095</t>
  </si>
  <si>
    <t>4</t>
  </si>
  <si>
    <t>Krajowy Plan Odbudowy</t>
  </si>
  <si>
    <t>4.1</t>
  </si>
  <si>
    <t>w tym: /Urząd Miasta/</t>
  </si>
  <si>
    <t>6.14</t>
  </si>
  <si>
    <t>Zwiększenie i dostosowanie oferty kwalifikacyjnych kursów zawodowych dla potrzeb lokalnego rynku pracy</t>
  </si>
  <si>
    <t>w tym: /Centrum Kształcenia Zawodowego i Ustawicznego/</t>
  </si>
  <si>
    <t>dz. 801</t>
  </si>
  <si>
    <t>rozdz. 80195</t>
  </si>
  <si>
    <t>Załącznik Nr 4</t>
  </si>
  <si>
    <t>Przychody i rozchody budżetu na 2026 rok</t>
  </si>
  <si>
    <t>Treść</t>
  </si>
  <si>
    <t>Klasyfikacja
§</t>
  </si>
  <si>
    <t>Kwota na 2026 rok</t>
  </si>
  <si>
    <t>Przychody ogółem:</t>
  </si>
  <si>
    <t>1.</t>
  </si>
  <si>
    <t>Przychody z zaciągniętych pożyczek i kredytów na rynku krajowym</t>
  </si>
  <si>
    <t>§ 952</t>
  </si>
  <si>
    <t>a)</t>
  </si>
  <si>
    <t>na pokrycie deficytu</t>
  </si>
  <si>
    <t>b)</t>
  </si>
  <si>
    <t>na spłatę długu</t>
  </si>
  <si>
    <t>2.</t>
  </si>
  <si>
    <t>Przychody z zaciągniętych pożyczek na finansowanie zadań realizowanych z udziałem środków pochodzących z budżetu UE</t>
  </si>
  <si>
    <t>§ 903</t>
  </si>
  <si>
    <t>3.</t>
  </si>
  <si>
    <t xml:space="preserve">Przychody jst z niewykorzystanych środków pieniężnych na rachunku bieżącym budżetu, wynikających z rozlicz. dochodów i wydatków nimi finansowanych związanych ze szczególnymi zasadami wykonywania budżetu  </t>
  </si>
  <si>
    <t>§ 905</t>
  </si>
  <si>
    <t>4.</t>
  </si>
  <si>
    <t>Przychody jst z wynikających z rozlicz. środków określonych w art. 5 ust. 1 pkt 2 ustawy i dotacji na realizację programu, projektu lub zadania finansowanego z udziałem tych środków</t>
  </si>
  <si>
    <t>§ 906</t>
  </si>
  <si>
    <t>5.</t>
  </si>
  <si>
    <t>Przychody jednostek samorządu terytorialnego z tytułu zaciągniętych pożyczek i kredytów oraz wyemitowanych papierów wartościowych na spłatę wcześniej zaciągniętych zobowiązań</t>
  </si>
  <si>
    <t>§ 907</t>
  </si>
  <si>
    <t>6.</t>
  </si>
  <si>
    <t>Przychody ze spłat pożyczek i kredytów udzielonych ze środk. publ.</t>
  </si>
  <si>
    <t>§ 951</t>
  </si>
  <si>
    <t>7.</t>
  </si>
  <si>
    <t>Pozostałe przychody z prywatyzacji</t>
  </si>
  <si>
    <t>§ 944</t>
  </si>
  <si>
    <t>8.</t>
  </si>
  <si>
    <t>Nadwyżki z lat ubiegłych</t>
  </si>
  <si>
    <t>§ 957</t>
  </si>
  <si>
    <t>9.</t>
  </si>
  <si>
    <t>Przychody ze sprzedaży innych papierów wartościowych</t>
  </si>
  <si>
    <t>§ 931</t>
  </si>
  <si>
    <t>10.</t>
  </si>
  <si>
    <t>Wolne środki, o których mowa w art. 217 ust. 2 pkt 6 ustawy</t>
  </si>
  <si>
    <t>§ 950</t>
  </si>
  <si>
    <t>11.</t>
  </si>
  <si>
    <t>Przelewy z rachunków lokat</t>
  </si>
  <si>
    <t>§ 994</t>
  </si>
  <si>
    <t>Rozchody ogółem:</t>
  </si>
  <si>
    <t>Spłaty otrzymanych krajowych  pożyczek i kredytów, w tym:</t>
  </si>
  <si>
    <t>§ 992</t>
  </si>
  <si>
    <t>na realizację  programów i projektów z udziałem środków unijnych</t>
  </si>
  <si>
    <t>Spłaty pożyczek otrzymanych na finansowanie zadań realizowanych z udziałem środków pochodzących z budżetu UE</t>
  </si>
  <si>
    <t>§ 963</t>
  </si>
  <si>
    <t>Wcześniejsza spłata istniejącego długu jednostek samorządu terytorialnego</t>
  </si>
  <si>
    <t>§ 965</t>
  </si>
  <si>
    <t>Udzielone pożyczki i kredyty</t>
  </si>
  <si>
    <t>§ 991</t>
  </si>
  <si>
    <t>Przelewy na rachunki lokat</t>
  </si>
  <si>
    <t>Wykup innych papierów wartościowych</t>
  </si>
  <si>
    <t>§ 982</t>
  </si>
  <si>
    <t>Rozchody z tytułu innych rozliczeń krajowych</t>
  </si>
  <si>
    <t>§ 995</t>
  </si>
  <si>
    <t>Załącznik Nr 5</t>
  </si>
  <si>
    <t xml:space="preserve">Dotacje udzielane z budżetu jednostki samorządu terytorialnego </t>
  </si>
  <si>
    <t>dla jednostek spoza sektora finansów publicznych na 2026 rok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</si>
  <si>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</si>
  <si>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</si>
  <si>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</si>
  <si>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</si>
  <si>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</si>
  <si>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</si>
  <si>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</si>
  <si>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</si>
  <si>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</si>
  <si>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</si>
  <si>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</si>
  <si>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</si>
  <si>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</si>
  <si>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</si>
  <si>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</si>
  <si>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Pozostała działalność (ćwiczenia gimnastyczne poprawiające kondycję seniora - Budżet Obywatelski)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</si>
  <si>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</si>
  <si>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</si>
  <si>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12.1</t>
  </si>
  <si>
    <t xml:space="preserve"> - zadania własne</t>
  </si>
  <si>
    <t>12.2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</si>
  <si>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</si>
  <si>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</si>
  <si>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</si>
  <si>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</si>
  <si>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Dofinansowanie  przyłączy kanalizacyjnych do nieruchomości (dotacja na inwestycje)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</si>
  <si>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</si>
  <si>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</si>
  <si>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</si>
  <si>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</si>
  <si>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</si>
  <si>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</si>
  <si>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</si>
  <si>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</si>
  <si>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</si>
  <si>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</si>
  <si>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</si>
  <si>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</si>
  <si>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</si>
  <si>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</si>
  <si>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</si>
  <si>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</si>
  <si>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Przedszkola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</si>
  <si>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</si>
  <si>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</si>
  <si>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</si>
  <si>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</si>
  <si>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</si>
  <si>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</si>
  <si>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</si>
  <si>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</si>
  <si>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</si>
  <si>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</si>
  <si>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</si>
  <si>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</si>
  <si>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</si>
  <si>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</si>
  <si>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</si>
  <si>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</si>
  <si>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</si>
  <si>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</si>
  <si>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</si>
  <si>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</si>
  <si>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</si>
  <si>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</si>
  <si>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</si>
  <si>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</si>
  <si>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</si>
  <si>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</si>
  <si>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</si>
  <si>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</si>
  <si>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</si>
  <si>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</si>
  <si>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</si>
  <si>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</si>
  <si>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Licea ogólnokształcące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</si>
  <si>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</si>
  <si>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</si>
  <si>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</si>
  <si>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</si>
  <si>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</si>
  <si>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</si>
  <si>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</si>
  <si>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</si>
  <si>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</si>
  <si>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</si>
  <si>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</si>
  <si>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</si>
  <si>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</si>
  <si>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</si>
  <si>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</si>
  <si>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</si>
  <si>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</si>
  <si>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</si>
  <si>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</si>
  <si>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</si>
  <si>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</si>
  <si>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</si>
  <si>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</si>
  <si>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</si>
  <si>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</si>
  <si>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</si>
  <si>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</si>
  <si>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</si>
  <si>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Ogółem:</t>
  </si>
  <si>
    <t>do UCHWAŁY NR XXXIV/62/2026</t>
  </si>
  <si>
    <t xml:space="preserve">wpływy z różnych dochodów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</si>
</sst>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zł&quot;"/>
    <numFmt numFmtId="165" formatCode="#,##0.00_ ;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charset val="1"/>
    </font>
    <font>
      <sz val="7"/>
      <name val="Arial Narrow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 CE"/>
      <charset val="238"/>
    </font>
    <font>
      <b/>
      <sz val="8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6"/>
      <name val="Arial Narrow"/>
      <family val="2"/>
      <charset val="238"/>
    </font>
    <font>
      <sz val="6"/>
      <name val="Arial CE"/>
      <charset val="238"/>
    </font>
    <font>
      <sz val="9"/>
      <name val="Arial CE"/>
      <charset val="238"/>
    </font>
    <font>
      <b/>
      <sz val="9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theme="1"/>
      <name val="Arial CE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7"/>
      <name val="Arial CE"/>
      <charset val="238"/>
    </font>
    <font>
      <sz val="11"/>
      <name val="Calibri"/>
      <family val="2"/>
      <charset val="238"/>
      <scheme val="minor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mediumDashDot">
        <color indexed="64"/>
      </top>
      <bottom style="hair">
        <color indexed="64"/>
      </bottom>
      <diagonal/>
    </border>
    <border>
      <left/>
      <right/>
      <top style="mediumDashDot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0" fontId="7" fillId="0" borderId="0"/>
    <xf numFmtId="0" fontId="8" fillId="0" borderId="0"/>
    <xf numFmtId="0" fontId="14" fillId="0" borderId="0"/>
    <xf numFmtId="0" fontId="16" fillId="0" borderId="0"/>
    <xf numFmtId="0" fontId="7" fillId="0" borderId="0"/>
    <xf numFmtId="0" fontId="18" fillId="0" borderId="0"/>
    <xf numFmtId="0" fontId="19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3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3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3">
    <xf numFmtId="0" fontId="0" fillId="0" borderId="0" xfId="0"/>
    <xf numFmtId="0" fontId="11" fillId="0" borderId="10" xfId="3" applyFont="1" applyBorder="1" applyAlignment="1">
      <alignment horizontal="center" vertical="center"/>
    </xf>
    <xf numFmtId="0" fontId="17" fillId="0" borderId="0" xfId="7" applyFont="1"/>
    <xf numFmtId="0" fontId="9" fillId="0" borderId="0" xfId="0" applyFont="1"/>
    <xf numFmtId="0" fontId="9" fillId="0" borderId="0" xfId="8" applyFont="1"/>
    <xf numFmtId="0" fontId="9" fillId="0" borderId="0" xfId="0" applyFont="1" applyAlignment="1">
      <alignment horizontal="left"/>
    </xf>
    <xf numFmtId="0" fontId="20" fillId="0" borderId="0" xfId="7" applyFont="1" applyAlignment="1">
      <alignment horizontal="centerContinuous" vertical="center"/>
    </xf>
    <xf numFmtId="0" fontId="21" fillId="0" borderId="1" xfId="7" applyFont="1" applyBorder="1" applyAlignment="1">
      <alignment horizontal="center" vertical="center"/>
    </xf>
    <xf numFmtId="0" fontId="21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top" wrapText="1"/>
    </xf>
    <xf numFmtId="0" fontId="21" fillId="0" borderId="4" xfId="7" applyFont="1" applyBorder="1" applyAlignment="1">
      <alignment horizontal="centerContinuous" vertical="center"/>
    </xf>
    <xf numFmtId="0" fontId="21" fillId="0" borderId="9" xfId="7" applyFont="1" applyBorder="1" applyAlignment="1">
      <alignment horizontal="centerContinuous" vertical="center"/>
    </xf>
    <xf numFmtId="0" fontId="21" fillId="0" borderId="6" xfId="7" applyFont="1" applyBorder="1" applyAlignment="1">
      <alignment horizontal="centerContinuous" vertical="center"/>
    </xf>
    <xf numFmtId="0" fontId="21" fillId="0" borderId="2" xfId="7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 wrapText="1"/>
    </xf>
    <xf numFmtId="0" fontId="22" fillId="0" borderId="2" xfId="7" applyFont="1" applyBorder="1" applyAlignment="1">
      <alignment horizontal="center" vertical="center" wrapText="1"/>
    </xf>
    <xf numFmtId="0" fontId="21" fillId="0" borderId="3" xfId="7" applyFont="1" applyBorder="1" applyAlignment="1">
      <alignment horizontal="center" vertical="center"/>
    </xf>
    <xf numFmtId="0" fontId="22" fillId="0" borderId="3" xfId="7" applyFont="1" applyBorder="1" applyAlignment="1">
      <alignment horizontal="center" vertical="center" wrapText="1"/>
    </xf>
    <xf numFmtId="0" fontId="21" fillId="0" borderId="3" xfId="7" applyFont="1" applyBorder="1" applyAlignment="1">
      <alignment horizontal="center" vertical="center" wrapText="1"/>
    </xf>
    <xf numFmtId="0" fontId="23" fillId="0" borderId="12" xfId="7" applyFont="1" applyBorder="1" applyAlignment="1">
      <alignment horizontal="center" vertical="center"/>
    </xf>
    <xf numFmtId="0" fontId="23" fillId="0" borderId="9" xfId="7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/>
    </xf>
    <xf numFmtId="0" fontId="20" fillId="0" borderId="12" xfId="7" applyFont="1" applyBorder="1" applyAlignment="1">
      <alignment vertical="center"/>
    </xf>
    <xf numFmtId="4" fontId="21" fillId="0" borderId="9" xfId="7" applyNumberFormat="1" applyFont="1" applyBorder="1" applyAlignment="1">
      <alignment horizontal="center" vertical="center"/>
    </xf>
    <xf numFmtId="4" fontId="21" fillId="0" borderId="12" xfId="7" applyNumberFormat="1" applyFont="1" applyBorder="1" applyAlignment="1">
      <alignment vertical="center"/>
    </xf>
    <xf numFmtId="0" fontId="21" fillId="0" borderId="0" xfId="7" applyFont="1"/>
    <xf numFmtId="0" fontId="20" fillId="0" borderId="2" xfId="7" applyFont="1" applyBorder="1" applyAlignment="1">
      <alignment horizontal="center" vertical="center"/>
    </xf>
    <xf numFmtId="4" fontId="17" fillId="0" borderId="0" xfId="7" applyNumberFormat="1" applyFont="1"/>
    <xf numFmtId="49" fontId="21" fillId="0" borderId="15" xfId="7" applyNumberFormat="1" applyFont="1" applyBorder="1" applyAlignment="1">
      <alignment horizontal="center" vertical="center"/>
    </xf>
    <xf numFmtId="0" fontId="17" fillId="0" borderId="17" xfId="7" applyFont="1" applyBorder="1" applyAlignment="1">
      <alignment vertical="top" wrapText="1"/>
    </xf>
    <xf numFmtId="0" fontId="17" fillId="0" borderId="18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3" fontId="17" fillId="0" borderId="0" xfId="7" applyNumberFormat="1" applyFont="1"/>
    <xf numFmtId="0" fontId="17" fillId="0" borderId="0" xfId="7" applyFont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right" vertical="center"/>
    </xf>
    <xf numFmtId="49" fontId="17" fillId="0" borderId="13" xfId="7" applyNumberFormat="1" applyFont="1" applyBorder="1" applyAlignment="1">
      <alignment horizontal="center" vertical="center"/>
    </xf>
    <xf numFmtId="0" fontId="17" fillId="0" borderId="20" xfId="7" applyFont="1" applyBorder="1" applyAlignment="1">
      <alignment horizontal="center"/>
    </xf>
    <xf numFmtId="0" fontId="21" fillId="0" borderId="16" xfId="7" applyFont="1" applyBorder="1" applyAlignment="1">
      <alignment horizontal="center" vertical="center"/>
    </xf>
    <xf numFmtId="49" fontId="17" fillId="0" borderId="2" xfId="7" applyNumberFormat="1" applyFont="1" applyBorder="1" applyAlignment="1">
      <alignment horizontal="center" vertical="center"/>
    </xf>
    <xf numFmtId="0" fontId="17" fillId="0" borderId="32" xfId="7" applyFont="1" applyBorder="1" applyAlignment="1">
      <alignment horizontal="center"/>
    </xf>
    <xf numFmtId="0" fontId="17" fillId="0" borderId="3" xfId="7" applyFont="1" applyBorder="1" applyAlignment="1">
      <alignment horizontal="center" vertical="center"/>
    </xf>
    <xf numFmtId="0" fontId="17" fillId="0" borderId="33" xfId="7" applyFont="1" applyBorder="1" applyAlignment="1">
      <alignment horizontal="center"/>
    </xf>
    <xf numFmtId="4" fontId="10" fillId="0" borderId="12" xfId="3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7" fillId="0" borderId="18" xfId="7" applyFont="1" applyBorder="1" applyAlignment="1">
      <alignment horizontal="center" vertical="top"/>
    </xf>
    <xf numFmtId="0" fontId="17" fillId="0" borderId="19" xfId="7" applyFont="1" applyBorder="1" applyAlignment="1">
      <alignment horizontal="center" vertical="center"/>
    </xf>
    <xf numFmtId="4" fontId="17" fillId="0" borderId="18" xfId="7" applyNumberFormat="1" applyFont="1" applyBorder="1" applyAlignment="1">
      <alignment horizontal="center"/>
    </xf>
    <xf numFmtId="4" fontId="17" fillId="0" borderId="3" xfId="7" applyNumberFormat="1" applyFont="1" applyBorder="1" applyAlignment="1">
      <alignment horizontal="center"/>
    </xf>
    <xf numFmtId="4" fontId="17" fillId="0" borderId="0" xfId="7" applyNumberFormat="1" applyFont="1" applyAlignment="1">
      <alignment horizontal="center"/>
    </xf>
    <xf numFmtId="4" fontId="17" fillId="0" borderId="0" xfId="7" applyNumberFormat="1" applyFont="1" applyAlignment="1">
      <alignment horizontal="right"/>
    </xf>
    <xf numFmtId="0" fontId="9" fillId="0" borderId="0" xfId="8" applyFont="1" applyAlignment="1">
      <alignment horizontal="left"/>
    </xf>
    <xf numFmtId="0" fontId="32" fillId="0" borderId="28" xfId="7" applyFont="1" applyBorder="1" applyAlignment="1">
      <alignment vertical="center" wrapText="1"/>
    </xf>
    <xf numFmtId="0" fontId="17" fillId="0" borderId="18" xfId="7" applyFont="1" applyBorder="1"/>
    <xf numFmtId="0" fontId="15" fillId="0" borderId="0" xfId="23" applyFont="1"/>
    <xf numFmtId="0" fontId="13" fillId="0" borderId="0" xfId="23" applyFont="1" applyAlignment="1">
      <alignment horizontal="right"/>
    </xf>
    <xf numFmtId="49" fontId="13" fillId="0" borderId="0" xfId="23" applyNumberFormat="1" applyFont="1"/>
    <xf numFmtId="0" fontId="13" fillId="0" borderId="0" xfId="23" applyFont="1" applyAlignment="1">
      <alignment horizontal="left"/>
    </xf>
    <xf numFmtId="0" fontId="13" fillId="0" borderId="0" xfId="23" applyFont="1"/>
    <xf numFmtId="4" fontId="15" fillId="0" borderId="0" xfId="23" applyNumberFormat="1" applyFont="1"/>
    <xf numFmtId="0" fontId="26" fillId="0" borderId="0" xfId="23" applyFont="1"/>
    <xf numFmtId="0" fontId="27" fillId="0" borderId="0" xfId="23" applyFont="1" applyAlignment="1">
      <alignment horizontal="centerContinuous"/>
    </xf>
    <xf numFmtId="0" fontId="26" fillId="0" borderId="0" xfId="23" applyFont="1" applyAlignment="1">
      <alignment horizontal="centerContinuous"/>
    </xf>
    <xf numFmtId="49" fontId="27" fillId="0" borderId="0" xfId="23" applyNumberFormat="1" applyFont="1" applyAlignment="1">
      <alignment horizontal="centerContinuous"/>
    </xf>
    <xf numFmtId="0" fontId="12" fillId="0" borderId="0" xfId="23" applyFont="1"/>
    <xf numFmtId="0" fontId="13" fillId="0" borderId="0" xfId="23" applyFont="1" applyAlignment="1">
      <alignment horizontal="center"/>
    </xf>
    <xf numFmtId="0" fontId="15" fillId="0" borderId="0" xfId="23" applyFont="1" applyAlignment="1">
      <alignment horizontal="center"/>
    </xf>
    <xf numFmtId="0" fontId="13" fillId="0" borderId="1" xfId="23" applyFont="1" applyBorder="1"/>
    <xf numFmtId="0" fontId="13" fillId="0" borderId="1" xfId="23" applyFont="1" applyBorder="1" applyAlignment="1">
      <alignment horizontal="right"/>
    </xf>
    <xf numFmtId="49" fontId="13" fillId="0" borderId="1" xfId="23" applyNumberFormat="1" applyFont="1" applyBorder="1"/>
    <xf numFmtId="0" fontId="12" fillId="0" borderId="20" xfId="23" applyFont="1" applyBorder="1"/>
    <xf numFmtId="0" fontId="12" fillId="0" borderId="1" xfId="23" applyFont="1" applyBorder="1" applyAlignment="1">
      <alignment horizontal="center"/>
    </xf>
    <xf numFmtId="3" fontId="13" fillId="0" borderId="1" xfId="23" applyNumberFormat="1" applyFont="1" applyBorder="1"/>
    <xf numFmtId="0" fontId="13" fillId="0" borderId="1" xfId="23" applyFont="1" applyBorder="1" applyAlignment="1">
      <alignment horizontal="center"/>
    </xf>
    <xf numFmtId="0" fontId="28" fillId="0" borderId="0" xfId="23" applyFont="1"/>
    <xf numFmtId="0" fontId="12" fillId="0" borderId="2" xfId="23" applyFont="1" applyBorder="1" applyAlignment="1">
      <alignment horizontal="center"/>
    </xf>
    <xf numFmtId="0" fontId="12" fillId="0" borderId="2" xfId="23" applyFont="1" applyBorder="1" applyAlignment="1">
      <alignment horizontal="right"/>
    </xf>
    <xf numFmtId="49" fontId="12" fillId="0" borderId="2" xfId="23" applyNumberFormat="1" applyFont="1" applyBorder="1" applyAlignment="1">
      <alignment horizontal="center"/>
    </xf>
    <xf numFmtId="0" fontId="12" fillId="0" borderId="21" xfId="23" applyFont="1" applyBorder="1" applyAlignment="1">
      <alignment horizontal="center"/>
    </xf>
    <xf numFmtId="3" fontId="12" fillId="0" borderId="2" xfId="23" applyNumberFormat="1" applyFont="1" applyBorder="1" applyAlignment="1">
      <alignment horizontal="center"/>
    </xf>
    <xf numFmtId="0" fontId="12" fillId="0" borderId="3" xfId="23" applyFont="1" applyBorder="1" applyAlignment="1">
      <alignment horizontal="center"/>
    </xf>
    <xf numFmtId="0" fontId="12" fillId="0" borderId="3" xfId="23" applyFont="1" applyBorder="1" applyAlignment="1">
      <alignment horizontal="right"/>
    </xf>
    <xf numFmtId="49" fontId="12" fillId="0" borderId="3" xfId="23" applyNumberFormat="1" applyFont="1" applyBorder="1" applyAlignment="1">
      <alignment horizontal="center"/>
    </xf>
    <xf numFmtId="0" fontId="12" fillId="0" borderId="22" xfId="23" applyFont="1" applyBorder="1" applyAlignment="1">
      <alignment horizontal="center"/>
    </xf>
    <xf numFmtId="3" fontId="12" fillId="0" borderId="3" xfId="23" applyNumberFormat="1" applyFont="1" applyBorder="1" applyAlignment="1">
      <alignment horizontal="center"/>
    </xf>
    <xf numFmtId="3" fontId="13" fillId="0" borderId="2" xfId="23" applyNumberFormat="1" applyFont="1" applyBorder="1"/>
    <xf numFmtId="49" fontId="13" fillId="0" borderId="2" xfId="23" applyNumberFormat="1" applyFont="1" applyBorder="1" applyAlignment="1">
      <alignment horizontal="right"/>
    </xf>
    <xf numFmtId="0" fontId="12" fillId="0" borderId="23" xfId="23" applyFont="1" applyBorder="1"/>
    <xf numFmtId="4" fontId="12" fillId="0" borderId="24" xfId="23" applyNumberFormat="1" applyFont="1" applyBorder="1"/>
    <xf numFmtId="0" fontId="12" fillId="0" borderId="25" xfId="23" applyFont="1" applyBorder="1"/>
    <xf numFmtId="4" fontId="12" fillId="0" borderId="26" xfId="23" applyNumberFormat="1" applyFont="1" applyBorder="1"/>
    <xf numFmtId="3" fontId="12" fillId="0" borderId="2" xfId="23" applyNumberFormat="1" applyFont="1" applyBorder="1" applyAlignment="1">
      <alignment horizontal="right"/>
    </xf>
    <xf numFmtId="3" fontId="12" fillId="0" borderId="2" xfId="23" applyNumberFormat="1" applyFont="1" applyBorder="1"/>
    <xf numFmtId="49" fontId="12" fillId="0" borderId="2" xfId="23" applyNumberFormat="1" applyFont="1" applyBorder="1" applyAlignment="1">
      <alignment horizontal="right"/>
    </xf>
    <xf numFmtId="3" fontId="12" fillId="0" borderId="21" xfId="23" applyNumberFormat="1" applyFont="1" applyBorder="1"/>
    <xf numFmtId="0" fontId="13" fillId="0" borderId="2" xfId="23" applyFont="1" applyBorder="1"/>
    <xf numFmtId="0" fontId="13" fillId="0" borderId="22" xfId="23" applyFont="1" applyBorder="1"/>
    <xf numFmtId="4" fontId="13" fillId="0" borderId="3" xfId="23" applyNumberFormat="1" applyFont="1" applyBorder="1"/>
    <xf numFmtId="0" fontId="13" fillId="0" borderId="21" xfId="23" applyFont="1" applyBorder="1"/>
    <xf numFmtId="4" fontId="13" fillId="0" borderId="2" xfId="23" applyNumberFormat="1" applyFont="1" applyBorder="1"/>
    <xf numFmtId="4" fontId="13" fillId="0" borderId="2" xfId="23" applyNumberFormat="1" applyFont="1" applyBorder="1" applyAlignment="1">
      <alignment horizontal="right"/>
    </xf>
    <xf numFmtId="4" fontId="15" fillId="0" borderId="0" xfId="23" applyNumberFormat="1" applyFont="1" applyAlignment="1">
      <alignment horizontal="right"/>
    </xf>
    <xf numFmtId="49" fontId="13" fillId="0" borderId="2" xfId="2" applyNumberFormat="1" applyFont="1" applyBorder="1" applyAlignment="1">
      <alignment horizontal="right" vertical="top"/>
    </xf>
    <xf numFmtId="0" fontId="28" fillId="0" borderId="0" xfId="2" applyFont="1" applyAlignment="1">
      <alignment vertical="center" wrapText="1"/>
    </xf>
    <xf numFmtId="0" fontId="12" fillId="0" borderId="2" xfId="2" applyFont="1" applyBorder="1" applyAlignment="1">
      <alignment horizontal="center"/>
    </xf>
    <xf numFmtId="0" fontId="13" fillId="0" borderId="2" xfId="2" applyFont="1" applyBorder="1" applyAlignment="1">
      <alignment horizontal="right" vertical="center"/>
    </xf>
    <xf numFmtId="0" fontId="12" fillId="0" borderId="2" xfId="2" applyFont="1" applyBorder="1" applyAlignment="1">
      <alignment horizontal="right" vertical="center"/>
    </xf>
    <xf numFmtId="0" fontId="12" fillId="0" borderId="26" xfId="2" applyFont="1" applyBorder="1"/>
    <xf numFmtId="4" fontId="12" fillId="0" borderId="26" xfId="23" applyNumberFormat="1" applyFont="1" applyBorder="1" applyAlignment="1">
      <alignment horizontal="right"/>
    </xf>
    <xf numFmtId="0" fontId="13" fillId="0" borderId="2" xfId="2" applyFont="1" applyBorder="1" applyAlignment="1">
      <alignment horizontal="right" vertical="top"/>
    </xf>
    <xf numFmtId="0" fontId="13" fillId="0" borderId="3" xfId="2" applyFont="1" applyBorder="1"/>
    <xf numFmtId="4" fontId="13" fillId="0" borderId="3" xfId="23" applyNumberFormat="1" applyFont="1" applyBorder="1" applyAlignment="1">
      <alignment horizontal="right"/>
    </xf>
    <xf numFmtId="4" fontId="13" fillId="0" borderId="27" xfId="23" applyNumberFormat="1" applyFont="1" applyBorder="1" applyAlignment="1">
      <alignment horizontal="right"/>
    </xf>
    <xf numFmtId="0" fontId="13" fillId="0" borderId="2" xfId="23" applyFont="1" applyBorder="1" applyAlignment="1">
      <alignment horizontal="right"/>
    </xf>
    <xf numFmtId="0" fontId="12" fillId="0" borderId="21" xfId="23" applyFont="1" applyBorder="1"/>
    <xf numFmtId="49" fontId="13" fillId="0" borderId="2" xfId="23" applyNumberFormat="1" applyFont="1" applyBorder="1" applyAlignment="1">
      <alignment horizontal="right" vertical="center"/>
    </xf>
    <xf numFmtId="0" fontId="13" fillId="0" borderId="2" xfId="23" applyFont="1" applyBorder="1" applyAlignment="1">
      <alignment vertical="center" wrapText="1"/>
    </xf>
    <xf numFmtId="49" fontId="13" fillId="0" borderId="2" xfId="23" applyNumberFormat="1" applyFont="1" applyBorder="1" applyAlignment="1">
      <alignment horizontal="center"/>
    </xf>
    <xf numFmtId="0" fontId="13" fillId="0" borderId="3" xfId="24" applyNumberFormat="1" applyFont="1" applyBorder="1" applyAlignment="1">
      <alignment horizontal="left"/>
    </xf>
    <xf numFmtId="49" fontId="13" fillId="0" borderId="2" xfId="23" applyNumberFormat="1" applyFont="1" applyBorder="1" applyAlignment="1">
      <alignment horizontal="right" vertical="top"/>
    </xf>
    <xf numFmtId="0" fontId="13" fillId="0" borderId="2" xfId="23" applyFont="1" applyBorder="1" applyAlignment="1">
      <alignment wrapText="1"/>
    </xf>
    <xf numFmtId="0" fontId="13" fillId="0" borderId="21" xfId="23" applyFont="1" applyBorder="1" applyAlignment="1">
      <alignment vertical="center" wrapText="1"/>
    </xf>
    <xf numFmtId="3" fontId="13" fillId="0" borderId="2" xfId="23" applyNumberFormat="1" applyFont="1" applyBorder="1" applyAlignment="1">
      <alignment horizontal="right"/>
    </xf>
    <xf numFmtId="4" fontId="12" fillId="0" borderId="26" xfId="2" applyNumberFormat="1" applyFont="1" applyBorder="1"/>
    <xf numFmtId="3" fontId="13" fillId="0" borderId="22" xfId="23" applyNumberFormat="1" applyFont="1" applyBorder="1"/>
    <xf numFmtId="3" fontId="13" fillId="0" borderId="3" xfId="23" applyNumberFormat="1" applyFont="1" applyBorder="1" applyAlignment="1">
      <alignment horizontal="right"/>
    </xf>
    <xf numFmtId="0" fontId="13" fillId="0" borderId="3" xfId="23" applyFont="1" applyBorder="1"/>
    <xf numFmtId="49" fontId="13" fillId="0" borderId="3" xfId="23" applyNumberFormat="1" applyFont="1" applyBorder="1" applyAlignment="1">
      <alignment horizontal="right" vertical="top"/>
    </xf>
    <xf numFmtId="0" fontId="13" fillId="0" borderId="3" xfId="23" applyFont="1" applyBorder="1" applyAlignment="1">
      <alignment vertical="top" wrapText="1"/>
    </xf>
    <xf numFmtId="0" fontId="13" fillId="0" borderId="2" xfId="2" applyFont="1" applyBorder="1" applyAlignment="1">
      <alignment horizontal="left" vertical="top" wrapText="1"/>
    </xf>
    <xf numFmtId="0" fontId="13" fillId="0" borderId="2" xfId="23" applyFont="1" applyBorder="1" applyAlignment="1">
      <alignment vertical="top" wrapText="1"/>
    </xf>
    <xf numFmtId="0" fontId="13" fillId="0" borderId="21" xfId="23" applyFont="1" applyBorder="1" applyAlignment="1">
      <alignment vertical="top" wrapText="1"/>
    </xf>
    <xf numFmtId="3" fontId="12" fillId="0" borderId="21" xfId="23" applyNumberFormat="1" applyFont="1" applyBorder="1" applyAlignment="1">
      <alignment vertical="center"/>
    </xf>
    <xf numFmtId="0" fontId="13" fillId="0" borderId="2" xfId="23" applyFont="1" applyBorder="1" applyAlignment="1">
      <alignment horizontal="right" vertical="center"/>
    </xf>
    <xf numFmtId="0" fontId="13" fillId="0" borderId="21" xfId="23" applyFont="1" applyBorder="1" applyAlignment="1">
      <alignment vertical="center"/>
    </xf>
    <xf numFmtId="4" fontId="13" fillId="0" borderId="27" xfId="23" applyNumberFormat="1" applyFont="1" applyBorder="1"/>
    <xf numFmtId="4" fontId="12" fillId="0" borderId="26" xfId="23" applyNumberFormat="1" applyFont="1" applyBorder="1" applyAlignment="1">
      <alignment vertical="center"/>
    </xf>
    <xf numFmtId="0" fontId="13" fillId="0" borderId="2" xfId="23" applyFont="1" applyBorder="1" applyAlignment="1">
      <alignment horizontal="center"/>
    </xf>
    <xf numFmtId="3" fontId="12" fillId="0" borderId="2" xfId="23" applyNumberFormat="1" applyFont="1" applyBorder="1" applyAlignment="1">
      <alignment horizontal="right" vertical="center"/>
    </xf>
    <xf numFmtId="4" fontId="12" fillId="0" borderId="26" xfId="23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/>
    </xf>
    <xf numFmtId="0" fontId="29" fillId="0" borderId="0" xfId="23" applyFont="1" applyAlignment="1">
      <alignment wrapText="1"/>
    </xf>
    <xf numFmtId="3" fontId="12" fillId="0" borderId="3" xfId="23" applyNumberFormat="1" applyFont="1" applyBorder="1" applyAlignment="1">
      <alignment horizontal="right"/>
    </xf>
    <xf numFmtId="49" fontId="13" fillId="0" borderId="3" xfId="23" applyNumberFormat="1" applyFont="1" applyBorder="1" applyAlignment="1">
      <alignment horizontal="right"/>
    </xf>
    <xf numFmtId="0" fontId="13" fillId="0" borderId="3" xfId="23" applyFont="1" applyBorder="1" applyAlignment="1">
      <alignment horizontal="right" vertical="center"/>
    </xf>
    <xf numFmtId="0" fontId="13" fillId="0" borderId="22" xfId="23" applyFont="1" applyBorder="1" applyAlignment="1">
      <alignment vertical="center"/>
    </xf>
    <xf numFmtId="3" fontId="12" fillId="0" borderId="2" xfId="23" applyNumberFormat="1" applyFont="1" applyBorder="1" applyAlignment="1">
      <alignment vertical="center"/>
    </xf>
    <xf numFmtId="49" fontId="12" fillId="0" borderId="2" xfId="23" applyNumberFormat="1" applyFont="1" applyBorder="1" applyAlignment="1">
      <alignment horizontal="right" vertical="center"/>
    </xf>
    <xf numFmtId="4" fontId="12" fillId="0" borderId="26" xfId="2" applyNumberFormat="1" applyFont="1" applyBorder="1" applyAlignment="1">
      <alignment vertical="center"/>
    </xf>
    <xf numFmtId="0" fontId="13" fillId="0" borderId="2" xfId="23" applyFont="1" applyBorder="1" applyAlignment="1">
      <alignment vertical="top"/>
    </xf>
    <xf numFmtId="0" fontId="28" fillId="0" borderId="0" xfId="23" applyFont="1" applyAlignment="1">
      <alignment vertical="top" wrapText="1"/>
    </xf>
    <xf numFmtId="4" fontId="13" fillId="0" borderId="0" xfId="23" applyNumberFormat="1" applyFont="1"/>
    <xf numFmtId="0" fontId="13" fillId="0" borderId="3" xfId="25" applyNumberFormat="1" applyFont="1" applyFill="1" applyBorder="1" applyAlignment="1">
      <alignment horizontal="left"/>
    </xf>
    <xf numFmtId="49" fontId="13" fillId="0" borderId="2" xfId="2" applyNumberFormat="1" applyFont="1" applyBorder="1" applyAlignment="1">
      <alignment horizontal="right"/>
    </xf>
    <xf numFmtId="0" fontId="13" fillId="0" borderId="2" xfId="23" applyFont="1" applyBorder="1" applyAlignment="1">
      <alignment horizontal="right" vertical="top"/>
    </xf>
    <xf numFmtId="4" fontId="13" fillId="0" borderId="21" xfId="23" applyNumberFormat="1" applyFont="1" applyBorder="1"/>
    <xf numFmtId="0" fontId="13" fillId="0" borderId="3" xfId="24" applyNumberFormat="1" applyFont="1" applyFill="1" applyBorder="1" applyAlignment="1">
      <alignment horizontal="left"/>
    </xf>
    <xf numFmtId="4" fontId="13" fillId="0" borderId="2" xfId="2" applyNumberFormat="1" applyFont="1" applyBorder="1" applyAlignment="1">
      <alignment horizontal="right"/>
    </xf>
    <xf numFmtId="4" fontId="13" fillId="0" borderId="2" xfId="2" applyNumberFormat="1" applyFont="1" applyBorder="1"/>
    <xf numFmtId="0" fontId="13" fillId="0" borderId="3" xfId="2" applyFont="1" applyBorder="1" applyAlignment="1">
      <alignment vertical="center"/>
    </xf>
    <xf numFmtId="4" fontId="13" fillId="0" borderId="40" xfId="23" applyNumberFormat="1" applyFont="1" applyBorder="1"/>
    <xf numFmtId="4" fontId="13" fillId="0" borderId="3" xfId="23" applyNumberFormat="1" applyFont="1" applyBorder="1" applyAlignment="1">
      <alignment vertical="center"/>
    </xf>
    <xf numFmtId="0" fontId="13" fillId="0" borderId="2" xfId="23" applyFont="1" applyBorder="1" applyAlignment="1">
      <alignment vertical="center"/>
    </xf>
    <xf numFmtId="4" fontId="13" fillId="0" borderId="2" xfId="23" applyNumberFormat="1" applyFont="1" applyBorder="1" applyAlignment="1">
      <alignment horizontal="right" vertical="center"/>
    </xf>
    <xf numFmtId="3" fontId="12" fillId="0" borderId="3" xfId="23" applyNumberFormat="1" applyFont="1" applyBorder="1" applyAlignment="1">
      <alignment horizontal="right" vertical="center"/>
    </xf>
    <xf numFmtId="0" fontId="13" fillId="0" borderId="3" xfId="23" applyFont="1" applyBorder="1" applyAlignment="1">
      <alignment vertical="center"/>
    </xf>
    <xf numFmtId="0" fontId="13" fillId="0" borderId="3" xfId="2" applyFont="1" applyBorder="1" applyAlignment="1">
      <alignment horizontal="right"/>
    </xf>
    <xf numFmtId="4" fontId="13" fillId="0" borderId="3" xfId="23" applyNumberFormat="1" applyFont="1" applyBorder="1" applyAlignment="1">
      <alignment horizontal="right" vertical="center"/>
    </xf>
    <xf numFmtId="0" fontId="13" fillId="0" borderId="2" xfId="2" applyFont="1" applyBorder="1"/>
    <xf numFmtId="0" fontId="13" fillId="0" borderId="21" xfId="2" applyFont="1" applyBorder="1"/>
    <xf numFmtId="0" fontId="28" fillId="0" borderId="3" xfId="23" applyFont="1" applyBorder="1" applyAlignment="1">
      <alignment horizontal="right"/>
    </xf>
    <xf numFmtId="0" fontId="28" fillId="0" borderId="3" xfId="23" applyFont="1" applyBorder="1"/>
    <xf numFmtId="49" fontId="28" fillId="0" borderId="3" xfId="23" applyNumberFormat="1" applyFont="1" applyBorder="1" applyAlignment="1">
      <alignment horizontal="right"/>
    </xf>
    <xf numFmtId="0" fontId="28" fillId="0" borderId="22" xfId="23" applyFont="1" applyBorder="1"/>
    <xf numFmtId="0" fontId="28" fillId="0" borderId="0" xfId="23" applyFont="1" applyAlignment="1">
      <alignment horizontal="right"/>
    </xf>
    <xf numFmtId="0" fontId="26" fillId="0" borderId="0" xfId="23" applyFont="1" applyAlignment="1">
      <alignment horizontal="right"/>
    </xf>
    <xf numFmtId="0" fontId="11" fillId="0" borderId="0" xfId="23" applyFont="1" applyAlignment="1">
      <alignment horizontal="center" vertical="center"/>
    </xf>
    <xf numFmtId="0" fontId="10" fillId="0" borderId="0" xfId="23" applyFont="1" applyAlignment="1">
      <alignment horizontal="center" vertical="center"/>
    </xf>
    <xf numFmtId="0" fontId="10" fillId="0" borderId="0" xfId="23" applyFont="1"/>
    <xf numFmtId="0" fontId="10" fillId="0" borderId="0" xfId="23" applyFont="1" applyAlignment="1">
      <alignment horizontal="right" vertical="center"/>
    </xf>
    <xf numFmtId="0" fontId="13" fillId="0" borderId="0" xfId="23" applyFont="1" applyAlignment="1">
      <alignment horizontal="right" vertical="center"/>
    </xf>
    <xf numFmtId="0" fontId="16" fillId="0" borderId="0" xfId="23" applyFont="1" applyAlignment="1">
      <alignment horizontal="right"/>
    </xf>
    <xf numFmtId="0" fontId="16" fillId="0" borderId="0" xfId="23" applyFont="1"/>
    <xf numFmtId="0" fontId="24" fillId="0" borderId="0" xfId="23" applyFont="1" applyAlignment="1">
      <alignment horizontal="left" vertical="center"/>
    </xf>
    <xf numFmtId="0" fontId="16" fillId="0" borderId="0" xfId="23" applyFont="1" applyAlignment="1">
      <alignment vertical="center"/>
    </xf>
    <xf numFmtId="4" fontId="10" fillId="0" borderId="0" xfId="23" applyNumberFormat="1" applyFont="1" applyAlignment="1">
      <alignment horizontal="right" vertical="center"/>
    </xf>
    <xf numFmtId="43" fontId="24" fillId="0" borderId="0" xfId="23" applyNumberFormat="1" applyFont="1" applyAlignment="1">
      <alignment horizontal="right" vertical="center"/>
    </xf>
    <xf numFmtId="0" fontId="11" fillId="0" borderId="0" xfId="23" applyFont="1" applyAlignment="1">
      <alignment horizontal="centerContinuous" vertical="center"/>
    </xf>
    <xf numFmtId="0" fontId="11" fillId="0" borderId="0" xfId="23" applyFont="1" applyAlignment="1">
      <alignment horizontal="centerContinuous"/>
    </xf>
    <xf numFmtId="0" fontId="12" fillId="0" borderId="0" xfId="23" applyFont="1" applyAlignment="1">
      <alignment horizontal="left"/>
    </xf>
    <xf numFmtId="0" fontId="15" fillId="0" borderId="0" xfId="23" applyFont="1" applyAlignment="1">
      <alignment horizontal="left"/>
    </xf>
    <xf numFmtId="4" fontId="12" fillId="0" borderId="0" xfId="23" applyNumberFormat="1" applyFont="1"/>
    <xf numFmtId="0" fontId="25" fillId="0" borderId="0" xfId="23" applyFont="1"/>
    <xf numFmtId="0" fontId="10" fillId="0" borderId="0" xfId="23" applyFont="1" applyAlignment="1">
      <alignment horizontal="centerContinuous"/>
    </xf>
    <xf numFmtId="0" fontId="11" fillId="0" borderId="0" xfId="23" applyFont="1" applyAlignment="1">
      <alignment horizontal="right" vertical="center"/>
    </xf>
    <xf numFmtId="0" fontId="10" fillId="0" borderId="0" xfId="23" applyFont="1" applyAlignment="1">
      <alignment horizontal="center"/>
    </xf>
    <xf numFmtId="0" fontId="11" fillId="0" borderId="1" xfId="23" applyFont="1" applyBorder="1" applyAlignment="1">
      <alignment horizontal="center" vertical="center"/>
    </xf>
    <xf numFmtId="0" fontId="10" fillId="0" borderId="1" xfId="23" applyFont="1" applyBorder="1" applyAlignment="1">
      <alignment horizontal="center" vertical="center"/>
    </xf>
    <xf numFmtId="0" fontId="11" fillId="3" borderId="1" xfId="23" applyFont="1" applyFill="1" applyBorder="1" applyAlignment="1">
      <alignment horizontal="center" vertical="center"/>
    </xf>
    <xf numFmtId="0" fontId="11" fillId="3" borderId="4" xfId="23" applyFont="1" applyFill="1" applyBorder="1" applyAlignment="1">
      <alignment horizontal="centerContinuous" vertical="center"/>
    </xf>
    <xf numFmtId="0" fontId="11" fillId="3" borderId="5" xfId="23" applyFont="1" applyFill="1" applyBorder="1" applyAlignment="1">
      <alignment horizontal="centerContinuous" vertical="center"/>
    </xf>
    <xf numFmtId="0" fontId="11" fillId="3" borderId="6" xfId="23" applyFont="1" applyFill="1" applyBorder="1" applyAlignment="1">
      <alignment horizontal="centerContinuous" vertical="center"/>
    </xf>
    <xf numFmtId="0" fontId="11" fillId="3" borderId="7" xfId="23" applyFont="1" applyFill="1" applyBorder="1" applyAlignment="1">
      <alignment horizontal="centerContinuous" vertical="center"/>
    </xf>
    <xf numFmtId="0" fontId="11" fillId="3" borderId="7" xfId="23" applyFont="1" applyFill="1" applyBorder="1" applyAlignment="1">
      <alignment horizontal="center" vertical="center"/>
    </xf>
    <xf numFmtId="0" fontId="13" fillId="0" borderId="0" xfId="23" applyFont="1" applyAlignment="1">
      <alignment horizontal="center" vertical="center"/>
    </xf>
    <xf numFmtId="4" fontId="15" fillId="0" borderId="0" xfId="23" applyNumberFormat="1" applyFont="1" applyAlignment="1">
      <alignment horizontal="right" vertical="center"/>
    </xf>
    <xf numFmtId="0" fontId="15" fillId="0" borderId="0" xfId="23" applyFont="1" applyAlignment="1">
      <alignment horizontal="left" vertical="center"/>
    </xf>
    <xf numFmtId="4" fontId="13" fillId="0" borderId="0" xfId="23" applyNumberFormat="1" applyFont="1" applyAlignment="1">
      <alignment horizontal="center" vertical="center"/>
    </xf>
    <xf numFmtId="0" fontId="13" fillId="0" borderId="0" xfId="23" applyFont="1" applyAlignment="1">
      <alignment horizontal="left" vertical="center"/>
    </xf>
    <xf numFmtId="0" fontId="11" fillId="0" borderId="2" xfId="23" applyFont="1" applyBorder="1" applyAlignment="1">
      <alignment horizontal="center" vertical="center"/>
    </xf>
    <xf numFmtId="0" fontId="11" fillId="0" borderId="8" xfId="23" applyFont="1" applyBorder="1" applyAlignment="1">
      <alignment horizontal="center" vertical="center"/>
    </xf>
    <xf numFmtId="0" fontId="10" fillId="0" borderId="8" xfId="23" applyFont="1" applyBorder="1" applyAlignment="1">
      <alignment horizontal="center" vertical="center"/>
    </xf>
    <xf numFmtId="0" fontId="11" fillId="3" borderId="8" xfId="23" applyFont="1" applyFill="1" applyBorder="1" applyAlignment="1">
      <alignment horizontal="center" vertical="center"/>
    </xf>
    <xf numFmtId="0" fontId="11" fillId="3" borderId="0" xfId="23" applyFont="1" applyFill="1" applyAlignment="1">
      <alignment horizontal="center" vertical="center"/>
    </xf>
    <xf numFmtId="0" fontId="11" fillId="4" borderId="4" xfId="23" applyFont="1" applyFill="1" applyBorder="1" applyAlignment="1">
      <alignment horizontal="center" vertical="center"/>
    </xf>
    <xf numFmtId="0" fontId="10" fillId="0" borderId="9" xfId="23" applyFont="1" applyBorder="1" applyAlignment="1">
      <alignment horizontal="center" vertical="center" wrapText="1"/>
    </xf>
    <xf numFmtId="0" fontId="11" fillId="3" borderId="2" xfId="23" applyFont="1" applyFill="1" applyBorder="1" applyAlignment="1">
      <alignment horizontal="center" vertical="center"/>
    </xf>
    <xf numFmtId="4" fontId="15" fillId="0" borderId="0" xfId="23" applyNumberFormat="1" applyFont="1" applyAlignment="1">
      <alignment vertical="center"/>
    </xf>
    <xf numFmtId="0" fontId="15" fillId="0" borderId="0" xfId="23" applyFont="1" applyAlignment="1">
      <alignment vertical="center"/>
    </xf>
    <xf numFmtId="0" fontId="13" fillId="0" borderId="0" xfId="23" applyFont="1" applyAlignment="1">
      <alignment vertical="center"/>
    </xf>
    <xf numFmtId="0" fontId="15" fillId="0" borderId="0" xfId="23" applyFont="1" applyAlignment="1">
      <alignment horizontal="center" vertical="center"/>
    </xf>
    <xf numFmtId="0" fontId="11" fillId="0" borderId="3" xfId="23" applyFont="1" applyBorder="1" applyAlignment="1">
      <alignment horizontal="center" vertical="center"/>
    </xf>
    <xf numFmtId="0" fontId="11" fillId="0" borderId="11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1" fillId="3" borderId="11" xfId="23" applyFont="1" applyFill="1" applyBorder="1" applyAlignment="1">
      <alignment horizontal="center" vertical="center"/>
    </xf>
    <xf numFmtId="0" fontId="11" fillId="3" borderId="3" xfId="23" applyFont="1" applyFill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3" borderId="12" xfId="23" applyFont="1" applyFill="1" applyBorder="1" applyAlignment="1">
      <alignment horizontal="center" vertical="center"/>
    </xf>
    <xf numFmtId="0" fontId="10" fillId="0" borderId="4" xfId="23" applyFont="1" applyBorder="1" applyAlignment="1">
      <alignment horizontal="center" vertical="center"/>
    </xf>
    <xf numFmtId="0" fontId="10" fillId="3" borderId="9" xfId="23" applyFont="1" applyFill="1" applyBorder="1" applyAlignment="1">
      <alignment horizontal="center" vertical="center"/>
    </xf>
    <xf numFmtId="4" fontId="13" fillId="0" borderId="0" xfId="23" applyNumberFormat="1" applyFont="1" applyAlignment="1">
      <alignment vertical="center"/>
    </xf>
    <xf numFmtId="1" fontId="11" fillId="0" borderId="12" xfId="23" applyNumberFormat="1" applyFont="1" applyBorder="1" applyAlignment="1">
      <alignment horizontal="center" vertical="center" wrapText="1"/>
    </xf>
    <xf numFmtId="0" fontId="11" fillId="0" borderId="12" xfId="23" applyFont="1" applyBorder="1" applyAlignment="1">
      <alignment vertical="center" wrapText="1"/>
    </xf>
    <xf numFmtId="4" fontId="11" fillId="0" borderId="12" xfId="23" applyNumberFormat="1" applyFont="1" applyBorder="1" applyAlignment="1">
      <alignment horizontal="right" vertical="center" wrapText="1"/>
    </xf>
    <xf numFmtId="1" fontId="10" fillId="0" borderId="3" xfId="23" applyNumberFormat="1" applyFont="1" applyBorder="1" applyAlignment="1">
      <alignment horizontal="center" vertical="center" wrapText="1"/>
    </xf>
    <xf numFmtId="3" fontId="31" fillId="0" borderId="12" xfId="23" applyNumberFormat="1" applyFont="1" applyBorder="1" applyAlignment="1">
      <alignment horizontal="center" vertical="center" wrapText="1"/>
    </xf>
    <xf numFmtId="0" fontId="10" fillId="0" borderId="12" xfId="23" applyFont="1" applyBorder="1" applyAlignment="1">
      <alignment vertical="center" wrapText="1"/>
    </xf>
    <xf numFmtId="4" fontId="10" fillId="0" borderId="12" xfId="23" applyNumberFormat="1" applyFont="1" applyBorder="1" applyAlignment="1">
      <alignment vertical="center" wrapText="1"/>
    </xf>
    <xf numFmtId="4" fontId="10" fillId="0" borderId="12" xfId="23" applyNumberFormat="1" applyFont="1" applyBorder="1" applyAlignment="1">
      <alignment horizontal="right" vertical="center" wrapText="1"/>
    </xf>
    <xf numFmtId="1" fontId="11" fillId="0" borderId="3" xfId="23" applyNumberFormat="1" applyFont="1" applyBorder="1" applyAlignment="1">
      <alignment horizontal="center" vertical="center" wrapText="1"/>
    </xf>
    <xf numFmtId="0" fontId="10" fillId="0" borderId="12" xfId="23" applyFont="1" applyBorder="1" applyAlignment="1">
      <alignment vertical="center"/>
    </xf>
    <xf numFmtId="4" fontId="10" fillId="0" borderId="12" xfId="23" applyNumberFormat="1" applyFont="1" applyBorder="1" applyAlignment="1">
      <alignment vertical="center"/>
    </xf>
    <xf numFmtId="43" fontId="10" fillId="0" borderId="12" xfId="24" applyFont="1" applyBorder="1" applyAlignment="1">
      <alignment vertical="center"/>
    </xf>
    <xf numFmtId="43" fontId="10" fillId="0" borderId="12" xfId="24" applyFont="1" applyFill="1" applyBorder="1" applyAlignment="1">
      <alignment horizontal="right" vertical="center"/>
    </xf>
    <xf numFmtId="43" fontId="10" fillId="0" borderId="12" xfId="24" applyFont="1" applyBorder="1" applyAlignment="1">
      <alignment horizontal="right" vertical="center"/>
    </xf>
    <xf numFmtId="0" fontId="11" fillId="0" borderId="3" xfId="23" applyFont="1" applyBorder="1" applyAlignment="1">
      <alignment vertical="center" wrapText="1"/>
    </xf>
    <xf numFmtId="4" fontId="11" fillId="0" borderId="3" xfId="23" applyNumberFormat="1" applyFont="1" applyBorder="1" applyAlignment="1">
      <alignment horizontal="right" vertical="center" wrapText="1"/>
    </xf>
    <xf numFmtId="0" fontId="11" fillId="0" borderId="12" xfId="23" applyFont="1" applyBorder="1" applyAlignment="1">
      <alignment horizontal="center" vertical="center"/>
    </xf>
    <xf numFmtId="0" fontId="24" fillId="0" borderId="12" xfId="23" applyFont="1" applyBorder="1" applyAlignment="1">
      <alignment horizontal="center" vertical="center"/>
    </xf>
    <xf numFmtId="4" fontId="10" fillId="0" borderId="12" xfId="23" applyNumberFormat="1" applyFont="1" applyBorder="1" applyAlignment="1">
      <alignment horizontal="right" vertical="center"/>
    </xf>
    <xf numFmtId="0" fontId="12" fillId="0" borderId="12" xfId="23" applyFont="1" applyBorder="1" applyAlignment="1">
      <alignment horizontal="center" vertical="center"/>
    </xf>
    <xf numFmtId="0" fontId="13" fillId="0" borderId="12" xfId="23" applyFont="1" applyBorder="1" applyAlignment="1">
      <alignment horizontal="center" vertical="center"/>
    </xf>
    <xf numFmtId="0" fontId="10" fillId="0" borderId="12" xfId="23" applyFont="1" applyBorder="1" applyAlignment="1">
      <alignment horizontal="right" vertical="center"/>
    </xf>
    <xf numFmtId="164" fontId="10" fillId="0" borderId="12" xfId="23" applyNumberFormat="1" applyFont="1" applyBorder="1" applyAlignment="1">
      <alignment vertical="center"/>
    </xf>
    <xf numFmtId="2" fontId="11" fillId="0" borderId="12" xfId="24" applyNumberFormat="1" applyFont="1" applyBorder="1" applyAlignment="1">
      <alignment horizontal="right" vertical="center"/>
    </xf>
    <xf numFmtId="4" fontId="11" fillId="0" borderId="12" xfId="24" applyNumberFormat="1" applyFont="1" applyBorder="1" applyAlignment="1">
      <alignment horizontal="right" vertical="center"/>
    </xf>
    <xf numFmtId="4" fontId="11" fillId="0" borderId="12" xfId="23" applyNumberFormat="1" applyFont="1" applyBorder="1" applyAlignment="1">
      <alignment horizontal="right" vertical="center"/>
    </xf>
    <xf numFmtId="0" fontId="10" fillId="0" borderId="41" xfId="3" applyFont="1" applyBorder="1" applyAlignment="1">
      <alignment vertical="center" wrapText="1"/>
    </xf>
    <xf numFmtId="4" fontId="10" fillId="0" borderId="41" xfId="3" applyNumberFormat="1" applyFont="1" applyBorder="1" applyAlignment="1">
      <alignment vertical="center" wrapText="1"/>
    </xf>
    <xf numFmtId="43" fontId="10" fillId="0" borderId="41" xfId="24" applyFont="1" applyBorder="1" applyAlignment="1">
      <alignment vertical="center" wrapText="1"/>
    </xf>
    <xf numFmtId="4" fontId="10" fillId="0" borderId="41" xfId="3" applyNumberFormat="1" applyFont="1" applyBorder="1" applyAlignment="1">
      <alignment horizontal="right" vertical="center"/>
    </xf>
    <xf numFmtId="4" fontId="10" fillId="0" borderId="11" xfId="23" applyNumberFormat="1" applyFont="1" applyBorder="1" applyAlignment="1">
      <alignment horizontal="right" vertical="center" wrapText="1"/>
    </xf>
    <xf numFmtId="0" fontId="11" fillId="0" borderId="1" xfId="23" applyFont="1" applyBorder="1" applyAlignment="1">
      <alignment vertical="center" wrapText="1"/>
    </xf>
    <xf numFmtId="4" fontId="11" fillId="0" borderId="1" xfId="23" applyNumberFormat="1" applyFont="1" applyBorder="1" applyAlignment="1">
      <alignment horizontal="right" vertical="center"/>
    </xf>
    <xf numFmtId="0" fontId="10" fillId="0" borderId="1" xfId="23" applyFont="1" applyBorder="1" applyAlignment="1">
      <alignment horizontal="center" vertical="center" wrapText="1"/>
    </xf>
    <xf numFmtId="0" fontId="10" fillId="0" borderId="1" xfId="23" applyFont="1" applyBorder="1" applyAlignment="1">
      <alignment vertical="center" wrapText="1"/>
    </xf>
    <xf numFmtId="4" fontId="10" fillId="0" borderId="1" xfId="23" applyNumberFormat="1" applyFont="1" applyBorder="1" applyAlignment="1">
      <alignment vertical="center" wrapText="1"/>
    </xf>
    <xf numFmtId="165" fontId="10" fillId="0" borderId="1" xfId="24" applyNumberFormat="1" applyFont="1" applyBorder="1" applyAlignment="1">
      <alignment horizontal="right" vertical="center"/>
    </xf>
    <xf numFmtId="43" fontId="10" fillId="0" borderId="1" xfId="24" applyFont="1" applyBorder="1" applyAlignment="1">
      <alignment horizontal="right" vertical="center"/>
    </xf>
    <xf numFmtId="0" fontId="24" fillId="0" borderId="3" xfId="23" applyFont="1" applyBorder="1" applyAlignment="1">
      <alignment horizontal="center" vertical="center"/>
    </xf>
    <xf numFmtId="0" fontId="10" fillId="0" borderId="3" xfId="3" applyFont="1" applyBorder="1" applyAlignment="1">
      <alignment horizontal="left" vertical="center" wrapText="1"/>
    </xf>
    <xf numFmtId="4" fontId="10" fillId="0" borderId="3" xfId="23" applyNumberFormat="1" applyFont="1" applyBorder="1" applyAlignment="1">
      <alignment vertical="center" wrapText="1"/>
    </xf>
    <xf numFmtId="165" fontId="10" fillId="0" borderId="3" xfId="24" applyNumberFormat="1" applyFont="1" applyBorder="1" applyAlignment="1">
      <alignment horizontal="right" vertical="center"/>
    </xf>
    <xf numFmtId="43" fontId="10" fillId="0" borderId="3" xfId="24" applyFont="1" applyBorder="1" applyAlignment="1">
      <alignment horizontal="right" vertical="center"/>
    </xf>
    <xf numFmtId="0" fontId="10" fillId="4" borderId="3" xfId="23" applyFont="1" applyFill="1" applyBorder="1" applyAlignment="1">
      <alignment vertical="center" wrapText="1"/>
    </xf>
    <xf numFmtId="4" fontId="10" fillId="4" borderId="3" xfId="23" applyNumberFormat="1" applyFont="1" applyFill="1" applyBorder="1" applyAlignment="1">
      <alignment vertical="center" wrapText="1"/>
    </xf>
    <xf numFmtId="0" fontId="10" fillId="0" borderId="3" xfId="23" applyFont="1" applyBorder="1" applyAlignment="1">
      <alignment vertical="center" wrapText="1"/>
    </xf>
    <xf numFmtId="0" fontId="11" fillId="0" borderId="12" xfId="23" applyFont="1" applyBorder="1" applyAlignment="1">
      <alignment horizontal="left" vertical="center" wrapText="1"/>
    </xf>
    <xf numFmtId="0" fontId="10" fillId="0" borderId="12" xfId="23" applyFont="1" applyBorder="1" applyAlignment="1">
      <alignment horizontal="center" vertical="center" wrapText="1"/>
    </xf>
    <xf numFmtId="4" fontId="10" fillId="0" borderId="1" xfId="23" applyNumberFormat="1" applyFont="1" applyBorder="1" applyAlignment="1">
      <alignment horizontal="right" vertical="center"/>
    </xf>
    <xf numFmtId="4" fontId="10" fillId="0" borderId="1" xfId="3" applyNumberFormat="1" applyFont="1" applyBorder="1" applyAlignment="1">
      <alignment horizontal="right" vertical="center"/>
    </xf>
    <xf numFmtId="4" fontId="11" fillId="0" borderId="1" xfId="23" applyNumberFormat="1" applyFont="1" applyBorder="1" applyAlignment="1">
      <alignment vertical="center" wrapText="1"/>
    </xf>
    <xf numFmtId="0" fontId="24" fillId="0" borderId="12" xfId="23" applyFont="1" applyBorder="1" applyAlignment="1">
      <alignment horizontal="center" vertical="center" wrapText="1"/>
    </xf>
    <xf numFmtId="4" fontId="11" fillId="0" borderId="1" xfId="3" applyNumberFormat="1" applyFont="1" applyBorder="1" applyAlignment="1">
      <alignment horizontal="right" vertical="center"/>
    </xf>
    <xf numFmtId="0" fontId="10" fillId="0" borderId="3" xfId="23" applyFont="1" applyBorder="1" applyAlignment="1">
      <alignment horizontal="center" vertical="center" wrapText="1"/>
    </xf>
    <xf numFmtId="0" fontId="17" fillId="0" borderId="17" xfId="7" applyFont="1" applyBorder="1" applyAlignment="1">
      <alignment vertical="center" wrapText="1"/>
    </xf>
    <xf numFmtId="4" fontId="10" fillId="0" borderId="2" xfId="23" applyNumberFormat="1" applyFont="1" applyBorder="1" applyAlignment="1">
      <alignment vertical="center" wrapText="1"/>
    </xf>
    <xf numFmtId="4" fontId="10" fillId="0" borderId="3" xfId="3" applyNumberFormat="1" applyFont="1" applyBorder="1" applyAlignment="1">
      <alignment horizontal="right" vertical="center"/>
    </xf>
    <xf numFmtId="4" fontId="10" fillId="0" borderId="2" xfId="3" applyNumberFormat="1" applyFont="1" applyBorder="1" applyAlignment="1">
      <alignment horizontal="right" vertical="center"/>
    </xf>
    <xf numFmtId="4" fontId="10" fillId="0" borderId="2" xfId="23" applyNumberFormat="1" applyFont="1" applyBorder="1" applyAlignment="1">
      <alignment horizontal="right" vertical="center"/>
    </xf>
    <xf numFmtId="0" fontId="10" fillId="0" borderId="22" xfId="23" applyFont="1" applyBorder="1" applyAlignment="1">
      <alignment horizontal="center" vertical="center" wrapText="1"/>
    </xf>
    <xf numFmtId="0" fontId="10" fillId="0" borderId="2" xfId="23" applyFont="1" applyBorder="1" applyAlignment="1">
      <alignment vertical="center" wrapText="1"/>
    </xf>
    <xf numFmtId="0" fontId="11" fillId="0" borderId="12" xfId="23" applyFont="1" applyBorder="1" applyAlignment="1">
      <alignment vertical="center"/>
    </xf>
    <xf numFmtId="43" fontId="11" fillId="0" borderId="12" xfId="24" applyFont="1" applyBorder="1" applyAlignment="1">
      <alignment horizontal="right" vertical="center"/>
    </xf>
    <xf numFmtId="165" fontId="10" fillId="0" borderId="12" xfId="24" applyNumberFormat="1" applyFont="1" applyBorder="1" applyAlignment="1">
      <alignment horizontal="right" vertical="center"/>
    </xf>
    <xf numFmtId="0" fontId="10" fillId="0" borderId="42" xfId="3" applyFont="1" applyBorder="1" applyAlignment="1">
      <alignment horizontal="left" vertical="center" wrapText="1"/>
    </xf>
    <xf numFmtId="4" fontId="11" fillId="0" borderId="12" xfId="3" applyNumberFormat="1" applyFont="1" applyBorder="1" applyAlignment="1">
      <alignment horizontal="right" vertical="center"/>
    </xf>
    <xf numFmtId="0" fontId="10" fillId="0" borderId="0" xfId="23" applyFont="1" applyAlignment="1">
      <alignment horizontal="left" vertical="center" wrapText="1"/>
    </xf>
    <xf numFmtId="0" fontId="10" fillId="0" borderId="3" xfId="23" applyFont="1" applyBorder="1" applyAlignment="1">
      <alignment horizontal="left" vertical="center" wrapText="1"/>
    </xf>
    <xf numFmtId="4" fontId="10" fillId="0" borderId="0" xfId="23" applyNumberFormat="1" applyFont="1" applyAlignment="1">
      <alignment horizontal="right" vertical="center" wrapText="1"/>
    </xf>
    <xf numFmtId="4" fontId="10" fillId="0" borderId="3" xfId="23" applyNumberFormat="1" applyFont="1" applyBorder="1" applyAlignment="1">
      <alignment horizontal="right" vertical="center"/>
    </xf>
    <xf numFmtId="0" fontId="10" fillId="0" borderId="1" xfId="23" applyFont="1" applyBorder="1" applyAlignment="1">
      <alignment horizontal="left" vertical="center" wrapText="1"/>
    </xf>
    <xf numFmtId="4" fontId="10" fillId="0" borderId="3" xfId="23" applyNumberFormat="1" applyFont="1" applyBorder="1" applyAlignment="1">
      <alignment horizontal="right" vertical="center" wrapText="1"/>
    </xf>
    <xf numFmtId="0" fontId="11" fillId="0" borderId="43" xfId="3" applyFont="1" applyBorder="1" applyAlignment="1">
      <alignment horizontal="left" vertical="center" wrapText="1"/>
    </xf>
    <xf numFmtId="0" fontId="12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43" fontId="10" fillId="0" borderId="3" xfId="24" applyFont="1" applyBorder="1" applyAlignment="1">
      <alignment horizontal="right" vertical="center" wrapText="1"/>
    </xf>
    <xf numFmtId="0" fontId="10" fillId="0" borderId="1" xfId="23" applyFont="1" applyBorder="1" applyAlignment="1">
      <alignment vertical="center"/>
    </xf>
    <xf numFmtId="4" fontId="10" fillId="0" borderId="3" xfId="23" applyNumberFormat="1" applyFont="1" applyBorder="1" applyAlignment="1">
      <alignment vertical="center"/>
    </xf>
    <xf numFmtId="0" fontId="10" fillId="0" borderId="3" xfId="23" applyFont="1" applyBorder="1" applyAlignment="1">
      <alignment vertical="center"/>
    </xf>
    <xf numFmtId="4" fontId="10" fillId="0" borderId="44" xfId="3" applyNumberFormat="1" applyFont="1" applyBorder="1" applyAlignment="1">
      <alignment horizontal="right" vertical="center"/>
    </xf>
    <xf numFmtId="0" fontId="11" fillId="0" borderId="12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left" vertical="center" wrapText="1"/>
    </xf>
    <xf numFmtId="4" fontId="10" fillId="0" borderId="12" xfId="3" applyNumberFormat="1" applyFont="1" applyBorder="1" applyAlignment="1">
      <alignment horizontal="right" vertical="center" wrapText="1"/>
    </xf>
    <xf numFmtId="4" fontId="17" fillId="0" borderId="18" xfId="7" applyNumberFormat="1" applyFont="1" applyBorder="1"/>
    <xf numFmtId="4" fontId="17" fillId="0" borderId="31" xfId="7" applyNumberFormat="1" applyFont="1" applyBorder="1"/>
    <xf numFmtId="4" fontId="17" fillId="0" borderId="3" xfId="7" applyNumberFormat="1" applyFont="1" applyBorder="1"/>
    <xf numFmtId="0" fontId="21" fillId="0" borderId="13" xfId="7" applyFont="1" applyBorder="1" applyAlignment="1">
      <alignment vertical="center" wrapText="1"/>
    </xf>
    <xf numFmtId="4" fontId="17" fillId="0" borderId="5" xfId="7" applyNumberFormat="1" applyFont="1" applyBorder="1"/>
    <xf numFmtId="4" fontId="17" fillId="0" borderId="7" xfId="7" applyNumberFormat="1" applyFont="1" applyBorder="1"/>
    <xf numFmtId="0" fontId="17" fillId="0" borderId="30" xfId="7" applyFont="1" applyBorder="1" applyAlignment="1">
      <alignment horizontal="center"/>
    </xf>
    <xf numFmtId="4" fontId="17" fillId="0" borderId="30" xfId="7" applyNumberFormat="1" applyFont="1" applyBorder="1"/>
    <xf numFmtId="4" fontId="17" fillId="0" borderId="2" xfId="7" applyNumberFormat="1" applyFont="1" applyBorder="1"/>
    <xf numFmtId="4" fontId="17" fillId="0" borderId="8" xfId="7" applyNumberFormat="1" applyFont="1" applyBorder="1"/>
    <xf numFmtId="0" fontId="17" fillId="0" borderId="45" xfId="7" applyFont="1" applyBorder="1" applyAlignment="1">
      <alignment horizontal="center"/>
    </xf>
    <xf numFmtId="4" fontId="17" fillId="0" borderId="14" xfId="7" applyNumberFormat="1" applyFont="1" applyBorder="1"/>
    <xf numFmtId="0" fontId="21" fillId="0" borderId="16" xfId="7" applyFont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right" vertical="center" wrapText="1"/>
    </xf>
    <xf numFmtId="0" fontId="17" fillId="0" borderId="47" xfId="7" applyFont="1" applyBorder="1" applyAlignment="1">
      <alignment horizontal="center"/>
    </xf>
    <xf numFmtId="4" fontId="17" fillId="0" borderId="48" xfId="7" applyNumberFormat="1" applyFont="1" applyBorder="1"/>
    <xf numFmtId="4" fontId="17" fillId="0" borderId="8" xfId="7" applyNumberFormat="1" applyFont="1" applyBorder="1" applyAlignment="1">
      <alignment horizontal="right"/>
    </xf>
    <xf numFmtId="4" fontId="17" fillId="0" borderId="47" xfId="7" applyNumberFormat="1" applyFont="1" applyBorder="1"/>
    <xf numFmtId="49" fontId="21" fillId="0" borderId="18" xfId="7" applyNumberFormat="1" applyFont="1" applyBorder="1" applyAlignment="1">
      <alignment horizontal="center" vertical="center"/>
    </xf>
    <xf numFmtId="4" fontId="17" fillId="0" borderId="32" xfId="7" applyNumberFormat="1" applyFont="1" applyBorder="1"/>
    <xf numFmtId="4" fontId="17" fillId="0" borderId="31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right"/>
    </xf>
    <xf numFmtId="49" fontId="21" fillId="0" borderId="3" xfId="7" applyNumberFormat="1" applyFont="1" applyBorder="1" applyAlignment="1">
      <alignment horizontal="center" vertical="center"/>
    </xf>
    <xf numFmtId="4" fontId="17" fillId="0" borderId="14" xfId="7" applyNumberFormat="1" applyFont="1" applyBorder="1" applyAlignment="1">
      <alignment horizontal="right"/>
    </xf>
    <xf numFmtId="0" fontId="32" fillId="0" borderId="49" xfId="0" applyFont="1" applyBorder="1" applyAlignment="1">
      <alignment vertical="center"/>
    </xf>
    <xf numFmtId="0" fontId="21" fillId="0" borderId="46" xfId="7" applyFont="1" applyBorder="1" applyAlignment="1">
      <alignment horizontal="center"/>
    </xf>
    <xf numFmtId="4" fontId="21" fillId="0" borderId="16" xfId="7" applyNumberFormat="1" applyFont="1" applyBorder="1" applyAlignment="1">
      <alignment vertical="center"/>
    </xf>
    <xf numFmtId="0" fontId="32" fillId="0" borderId="17" xfId="7" applyFont="1" applyBorder="1" applyAlignment="1">
      <alignment vertical="center" wrapText="1"/>
    </xf>
    <xf numFmtId="0" fontId="13" fillId="0" borderId="0" xfId="4" applyFont="1" applyAlignment="1">
      <alignment vertical="center"/>
    </xf>
    <xf numFmtId="0" fontId="13" fillId="0" borderId="0" xfId="4" applyFont="1"/>
    <xf numFmtId="0" fontId="36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12" fillId="0" borderId="0" xfId="4" applyFont="1"/>
    <xf numFmtId="0" fontId="13" fillId="0" borderId="0" xfId="4" applyFont="1" applyAlignment="1">
      <alignment horizontal="center"/>
    </xf>
    <xf numFmtId="0" fontId="38" fillId="0" borderId="12" xfId="4" applyFont="1" applyBorder="1" applyAlignment="1">
      <alignment horizontal="center" vertical="center"/>
    </xf>
    <xf numFmtId="0" fontId="38" fillId="0" borderId="12" xfId="4" applyFont="1" applyBorder="1" applyAlignment="1">
      <alignment horizontal="center" vertical="center" wrapText="1"/>
    </xf>
    <xf numFmtId="0" fontId="39" fillId="0" borderId="12" xfId="4" applyFont="1" applyBorder="1" applyAlignment="1">
      <alignment horizontal="center" vertical="center"/>
    </xf>
    <xf numFmtId="0" fontId="40" fillId="0" borderId="0" xfId="4" applyFont="1" applyAlignment="1">
      <alignment vertical="center"/>
    </xf>
    <xf numFmtId="0" fontId="36" fillId="0" borderId="1" xfId="4" applyFont="1" applyBorder="1" applyAlignment="1">
      <alignment horizontal="center" vertical="center"/>
    </xf>
    <xf numFmtId="4" fontId="38" fillId="0" borderId="1" xfId="4" applyNumberFormat="1" applyFont="1" applyBorder="1" applyAlignment="1">
      <alignment vertical="center"/>
    </xf>
    <xf numFmtId="0" fontId="13" fillId="0" borderId="1" xfId="4" applyFont="1" applyBorder="1" applyAlignment="1">
      <alignment horizontal="center" vertical="center"/>
    </xf>
    <xf numFmtId="0" fontId="13" fillId="0" borderId="7" xfId="4" applyFont="1" applyBorder="1" applyAlignment="1">
      <alignment vertical="center" wrapText="1"/>
    </xf>
    <xf numFmtId="0" fontId="36" fillId="0" borderId="20" xfId="4" applyFont="1" applyBorder="1" applyAlignment="1">
      <alignment horizontal="center" vertical="center"/>
    </xf>
    <xf numFmtId="4" fontId="36" fillId="0" borderId="1" xfId="4" applyNumberFormat="1" applyFont="1" applyBorder="1" applyAlignment="1">
      <alignment vertical="center"/>
    </xf>
    <xf numFmtId="0" fontId="13" fillId="0" borderId="2" xfId="4" applyFont="1" applyBorder="1" applyAlignment="1">
      <alignment horizontal="center" vertical="center"/>
    </xf>
    <xf numFmtId="0" fontId="13" fillId="0" borderId="8" xfId="4" applyFont="1" applyBorder="1" applyAlignment="1">
      <alignment vertical="center"/>
    </xf>
    <xf numFmtId="0" fontId="36" fillId="0" borderId="21" xfId="4" applyFont="1" applyBorder="1" applyAlignment="1">
      <alignment horizontal="center" vertical="center"/>
    </xf>
    <xf numFmtId="4" fontId="36" fillId="0" borderId="2" xfId="4" applyNumberFormat="1" applyFont="1" applyBorder="1" applyAlignment="1">
      <alignment vertical="center"/>
    </xf>
    <xf numFmtId="0" fontId="13" fillId="0" borderId="3" xfId="4" applyFont="1" applyBorder="1" applyAlignment="1">
      <alignment horizontal="center" vertical="center"/>
    </xf>
    <xf numFmtId="0" fontId="13" fillId="0" borderId="11" xfId="4" applyFont="1" applyBorder="1" applyAlignment="1">
      <alignment vertical="center"/>
    </xf>
    <xf numFmtId="0" fontId="36" fillId="0" borderId="22" xfId="4" applyFont="1" applyBorder="1" applyAlignment="1">
      <alignment horizontal="center" vertical="center"/>
    </xf>
    <xf numFmtId="4" fontId="36" fillId="0" borderId="3" xfId="4" applyNumberFormat="1" applyFont="1" applyBorder="1" applyAlignment="1">
      <alignment vertical="center"/>
    </xf>
    <xf numFmtId="0" fontId="13" fillId="0" borderId="2" xfId="4" applyFont="1" applyBorder="1" applyAlignment="1">
      <alignment vertical="center" wrapText="1"/>
    </xf>
    <xf numFmtId="0" fontId="36" fillId="0" borderId="2" xfId="4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0" fontId="13" fillId="0" borderId="20" xfId="4" applyFont="1" applyBorder="1" applyAlignment="1">
      <alignment vertical="center" wrapText="1"/>
    </xf>
    <xf numFmtId="0" fontId="13" fillId="0" borderId="21" xfId="4" applyFont="1" applyBorder="1" applyAlignment="1">
      <alignment horizontal="center" vertical="center"/>
    </xf>
    <xf numFmtId="0" fontId="13" fillId="0" borderId="21" xfId="4" quotePrefix="1" applyFont="1" applyBorder="1" applyAlignment="1">
      <alignment vertical="center" wrapText="1"/>
    </xf>
    <xf numFmtId="0" fontId="13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vertical="center" wrapText="1"/>
    </xf>
    <xf numFmtId="0" fontId="36" fillId="0" borderId="12" xfId="4" applyFont="1" applyBorder="1" applyAlignment="1">
      <alignment horizontal="center" vertical="center"/>
    </xf>
    <xf numFmtId="4" fontId="36" fillId="0" borderId="12" xfId="4" applyNumberFormat="1" applyFont="1" applyBorder="1" applyAlignment="1">
      <alignment vertical="center"/>
    </xf>
    <xf numFmtId="0" fontId="13" fillId="0" borderId="3" xfId="4" applyFont="1" applyBorder="1" applyAlignment="1">
      <alignment vertical="center" wrapText="1"/>
    </xf>
    <xf numFmtId="0" fontId="36" fillId="0" borderId="3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top"/>
    </xf>
    <xf numFmtId="0" fontId="13" fillId="0" borderId="3" xfId="4" applyFont="1" applyBorder="1" applyAlignment="1">
      <alignment vertical="top" wrapText="1"/>
    </xf>
    <xf numFmtId="0" fontId="36" fillId="0" borderId="3" xfId="4" applyFont="1" applyBorder="1" applyAlignment="1">
      <alignment horizontal="center" vertical="top"/>
    </xf>
    <xf numFmtId="0" fontId="13" fillId="0" borderId="12" xfId="4" applyFont="1" applyBorder="1" applyAlignment="1">
      <alignment vertical="center"/>
    </xf>
    <xf numFmtId="0" fontId="13" fillId="0" borderId="1" xfId="4" applyFont="1" applyBorder="1" applyAlignment="1">
      <alignment vertical="center" wrapText="1"/>
    </xf>
    <xf numFmtId="4" fontId="36" fillId="0" borderId="1" xfId="4" applyNumberFormat="1" applyFont="1" applyBorder="1" applyAlignment="1">
      <alignment horizontal="right" vertical="center"/>
    </xf>
    <xf numFmtId="0" fontId="13" fillId="0" borderId="2" xfId="4" applyFont="1" applyBorder="1" applyAlignment="1">
      <alignment vertical="center"/>
    </xf>
    <xf numFmtId="0" fontId="13" fillId="0" borderId="3" xfId="4" applyFont="1" applyBorder="1" applyAlignment="1">
      <alignment vertical="center"/>
    </xf>
    <xf numFmtId="4" fontId="36" fillId="0" borderId="3" xfId="4" applyNumberFormat="1" applyFont="1" applyBorder="1" applyAlignment="1">
      <alignment horizontal="right" vertical="center"/>
    </xf>
    <xf numFmtId="4" fontId="38" fillId="0" borderId="2" xfId="4" applyNumberFormat="1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0" fontId="41" fillId="0" borderId="0" xfId="4" applyFont="1" applyAlignment="1">
      <alignment vertical="center"/>
    </xf>
    <xf numFmtId="3" fontId="41" fillId="0" borderId="0" xfId="4" applyNumberFormat="1" applyFont="1" applyAlignment="1">
      <alignment vertical="center"/>
    </xf>
    <xf numFmtId="0" fontId="36" fillId="0" borderId="0" xfId="6" applyFont="1"/>
    <xf numFmtId="0" fontId="36" fillId="0" borderId="0" xfId="6" applyFont="1" applyAlignment="1">
      <alignment horizontal="center"/>
    </xf>
    <xf numFmtId="0" fontId="13" fillId="0" borderId="0" xfId="6" applyFont="1"/>
    <xf numFmtId="0" fontId="38" fillId="0" borderId="0" xfId="6" applyFont="1" applyAlignment="1">
      <alignment horizontal="centerContinuous" vertical="center" wrapText="1"/>
    </xf>
    <xf numFmtId="0" fontId="38" fillId="0" borderId="0" xfId="6" applyFont="1" applyAlignment="1">
      <alignment horizontal="centerContinuous" wrapText="1"/>
    </xf>
    <xf numFmtId="0" fontId="15" fillId="0" borderId="0" xfId="6" applyFont="1" applyAlignment="1">
      <alignment horizontal="right"/>
    </xf>
    <xf numFmtId="0" fontId="38" fillId="4" borderId="12" xfId="6" applyFont="1" applyFill="1" applyBorder="1" applyAlignment="1">
      <alignment horizontal="center" vertical="center"/>
    </xf>
    <xf numFmtId="0" fontId="36" fillId="4" borderId="4" xfId="22" applyFont="1" applyFill="1" applyBorder="1" applyAlignment="1">
      <alignment horizontal="center" vertical="center"/>
    </xf>
    <xf numFmtId="0" fontId="38" fillId="4" borderId="4" xfId="6" applyFont="1" applyFill="1" applyBorder="1" applyAlignment="1">
      <alignment horizontal="centerContinuous" vertical="center"/>
    </xf>
    <xf numFmtId="0" fontId="39" fillId="4" borderId="12" xfId="6" applyFont="1" applyFill="1" applyBorder="1" applyAlignment="1">
      <alignment horizontal="center" vertical="center"/>
    </xf>
    <xf numFmtId="0" fontId="39" fillId="4" borderId="4" xfId="22" applyFont="1" applyFill="1" applyBorder="1" applyAlignment="1">
      <alignment horizontal="center" vertical="top"/>
    </xf>
    <xf numFmtId="0" fontId="39" fillId="4" borderId="4" xfId="6" applyFont="1" applyFill="1" applyBorder="1" applyAlignment="1">
      <alignment horizontal="centerContinuous" vertical="center"/>
    </xf>
    <xf numFmtId="0" fontId="39" fillId="0" borderId="0" xfId="6" applyFont="1"/>
    <xf numFmtId="0" fontId="36" fillId="0" borderId="6" xfId="22" applyFont="1" applyFill="1" applyBorder="1" applyAlignment="1">
      <alignment horizontal="center" vertical="top"/>
    </xf>
    <xf numFmtId="0" fontId="36" fillId="0" borderId="12" xfId="6" applyFont="1" applyBorder="1" applyAlignment="1">
      <alignment vertical="center"/>
    </xf>
    <xf numFmtId="0" fontId="36" fillId="0" borderId="12" xfId="6" applyFont="1" applyBorder="1" applyAlignment="1">
      <alignment horizontal="right" vertical="center"/>
    </xf>
    <xf numFmtId="0" fontId="36" fillId="0" borderId="12" xfId="6" applyFont="1" applyBorder="1" applyAlignment="1">
      <alignment vertical="center" wrapText="1"/>
    </xf>
    <xf numFmtId="4" fontId="36" fillId="0" borderId="12" xfId="6" applyNumberFormat="1" applyFont="1" applyBorder="1" applyAlignment="1">
      <alignment vertical="center"/>
    </xf>
    <xf numFmtId="0" fontId="36" fillId="4" borderId="12" xfId="6" applyFont="1" applyFill="1" applyBorder="1" applyAlignment="1">
      <alignment vertical="center"/>
    </xf>
    <xf numFmtId="0" fontId="36" fillId="4" borderId="12" xfId="22" applyFont="1" applyFill="1" applyBorder="1" applyAlignment="1">
      <alignment horizontal="center" vertical="center"/>
    </xf>
    <xf numFmtId="0" fontId="36" fillId="4" borderId="12" xfId="6" applyFont="1" applyFill="1" applyBorder="1" applyAlignment="1">
      <alignment horizontal="left" vertical="center" wrapText="1"/>
    </xf>
    <xf numFmtId="0" fontId="42" fillId="0" borderId="0" xfId="6" applyFont="1"/>
    <xf numFmtId="0" fontId="36" fillId="4" borderId="4" xfId="6" applyFont="1" applyFill="1" applyBorder="1" applyAlignment="1">
      <alignment vertical="top" wrapText="1"/>
    </xf>
    <xf numFmtId="4" fontId="36" fillId="0" borderId="0" xfId="6" applyNumberFormat="1" applyFont="1"/>
    <xf numFmtId="0" fontId="36" fillId="4" borderId="4" xfId="6" applyFont="1" applyFill="1" applyBorder="1" applyAlignment="1">
      <alignment vertical="center" wrapText="1"/>
    </xf>
    <xf numFmtId="4" fontId="36" fillId="0" borderId="3" xfId="6" applyNumberFormat="1" applyFont="1" applyBorder="1"/>
    <xf numFmtId="0" fontId="36" fillId="4" borderId="22" xfId="22" applyFont="1" applyFill="1" applyBorder="1" applyAlignment="1">
      <alignment horizontal="center" vertical="center" wrapText="1"/>
    </xf>
    <xf numFmtId="0" fontId="36" fillId="4" borderId="22" xfId="6" applyFont="1" applyFill="1" applyBorder="1" applyAlignment="1">
      <alignment vertical="center" wrapText="1"/>
    </xf>
    <xf numFmtId="4" fontId="36" fillId="0" borderId="3" xfId="6" applyNumberFormat="1" applyFont="1" applyBorder="1" applyAlignment="1">
      <alignment vertical="center"/>
    </xf>
    <xf numFmtId="0" fontId="36" fillId="4" borderId="22" xfId="22" applyFont="1" applyFill="1" applyBorder="1" applyAlignment="1">
      <alignment horizontal="center" vertical="center"/>
    </xf>
    <xf numFmtId="0" fontId="36" fillId="4" borderId="22" xfId="6" applyFont="1" applyFill="1" applyBorder="1" applyAlignment="1">
      <alignment vertical="center"/>
    </xf>
    <xf numFmtId="0" fontId="36" fillId="0" borderId="1" xfId="6" applyFont="1" applyBorder="1" applyAlignment="1">
      <alignment vertical="center"/>
    </xf>
    <xf numFmtId="0" fontId="36" fillId="4" borderId="1" xfId="6" applyFont="1" applyFill="1" applyBorder="1" applyAlignment="1">
      <alignment vertical="center"/>
    </xf>
    <xf numFmtId="0" fontId="36" fillId="4" borderId="7" xfId="6" applyFont="1" applyFill="1" applyBorder="1" applyAlignment="1">
      <alignment vertical="center"/>
    </xf>
    <xf numFmtId="0" fontId="36" fillId="4" borderId="5" xfId="22" applyFont="1" applyFill="1" applyBorder="1" applyAlignment="1">
      <alignment horizontal="center" vertical="center"/>
    </xf>
    <xf numFmtId="0" fontId="36" fillId="0" borderId="4" xfId="6" applyFont="1" applyBorder="1" applyAlignment="1">
      <alignment vertical="top" wrapText="1"/>
    </xf>
    <xf numFmtId="0" fontId="36" fillId="0" borderId="4" xfId="22" applyFont="1" applyFill="1" applyBorder="1" applyAlignment="1">
      <alignment horizontal="center" vertical="center"/>
    </xf>
    <xf numFmtId="0" fontId="36" fillId="0" borderId="4" xfId="6" applyFont="1" applyBorder="1" applyAlignment="1">
      <alignment vertical="center" wrapText="1"/>
    </xf>
    <xf numFmtId="0" fontId="36" fillId="4" borderId="1" xfId="6" applyFont="1" applyFill="1" applyBorder="1" applyAlignment="1">
      <alignment horizontal="right" vertical="center"/>
    </xf>
    <xf numFmtId="0" fontId="36" fillId="4" borderId="7" xfId="6" applyFont="1" applyFill="1" applyBorder="1" applyAlignment="1">
      <alignment horizontal="right" vertical="center"/>
    </xf>
    <xf numFmtId="0" fontId="36" fillId="4" borderId="4" xfId="6" applyFont="1" applyFill="1" applyBorder="1" applyAlignment="1">
      <alignment wrapText="1"/>
    </xf>
    <xf numFmtId="49" fontId="13" fillId="0" borderId="1" xfId="6" applyNumberFormat="1" applyFont="1" applyBorder="1" applyAlignment="1">
      <alignment horizontal="right"/>
    </xf>
    <xf numFmtId="0" fontId="13" fillId="4" borderId="1" xfId="6" applyFont="1" applyFill="1" applyBorder="1" applyAlignment="1">
      <alignment horizontal="right" vertical="top"/>
    </xf>
    <xf numFmtId="0" fontId="13" fillId="4" borderId="7" xfId="6" applyFont="1" applyFill="1" applyBorder="1" applyAlignment="1">
      <alignment horizontal="right" vertical="top"/>
    </xf>
    <xf numFmtId="0" fontId="13" fillId="4" borderId="5" xfId="22" applyFont="1" applyFill="1" applyBorder="1" applyAlignment="1">
      <alignment horizontal="center" vertical="top"/>
    </xf>
    <xf numFmtId="0" fontId="13" fillId="4" borderId="4" xfId="6" applyFont="1" applyFill="1" applyBorder="1" applyAlignment="1">
      <alignment wrapText="1"/>
    </xf>
    <xf numFmtId="4" fontId="13" fillId="0" borderId="12" xfId="6" applyNumberFormat="1" applyFont="1" applyBorder="1" applyAlignment="1">
      <alignment vertical="center"/>
    </xf>
    <xf numFmtId="0" fontId="36" fillId="0" borderId="12" xfId="6" applyFont="1" applyBorder="1"/>
    <xf numFmtId="0" fontId="36" fillId="4" borderId="12" xfId="6" applyFont="1" applyFill="1" applyBorder="1"/>
    <xf numFmtId="0" fontId="36" fillId="4" borderId="4" xfId="22" applyFont="1" applyFill="1" applyBorder="1" applyAlignment="1">
      <alignment horizontal="center"/>
    </xf>
    <xf numFmtId="4" fontId="36" fillId="0" borderId="12" xfId="6" applyNumberFormat="1" applyFont="1" applyBorder="1"/>
    <xf numFmtId="0" fontId="36" fillId="4" borderId="4" xfId="22" applyFont="1" applyFill="1" applyBorder="1" applyAlignment="1">
      <alignment horizontal="center" vertical="top" wrapText="1"/>
    </xf>
    <xf numFmtId="0" fontId="36" fillId="0" borderId="4" xfId="6" applyFont="1" applyBorder="1" applyAlignment="1">
      <alignment wrapText="1"/>
    </xf>
    <xf numFmtId="0" fontId="36" fillId="0" borderId="12" xfId="6" quotePrefix="1" applyFont="1" applyBorder="1" applyAlignment="1">
      <alignment horizontal="right" vertical="center"/>
    </xf>
    <xf numFmtId="0" fontId="36" fillId="0" borderId="4" xfId="6" quotePrefix="1" applyFont="1" applyBorder="1" applyAlignment="1">
      <alignment vertical="top" wrapText="1"/>
    </xf>
    <xf numFmtId="4" fontId="36" fillId="0" borderId="12" xfId="6" applyNumberFormat="1" applyFont="1" applyBorder="1" applyAlignment="1">
      <alignment horizontal="right" vertical="center"/>
    </xf>
    <xf numFmtId="0" fontId="43" fillId="0" borderId="0" xfId="6" applyFont="1" applyAlignment="1">
      <alignment horizontal="center" vertical="center"/>
    </xf>
    <xf numFmtId="0" fontId="36" fillId="4" borderId="4" xfId="6" applyFont="1" applyFill="1" applyBorder="1" applyAlignment="1">
      <alignment vertical="center"/>
    </xf>
    <xf numFmtId="0" fontId="36" fillId="4" borderId="4" xfId="22" applyFont="1" applyFill="1" applyBorder="1" applyAlignment="1">
      <alignment horizontal="center" vertical="center" wrapText="1"/>
    </xf>
    <xf numFmtId="0" fontId="36" fillId="0" borderId="6" xfId="22" applyFont="1" applyFill="1" applyBorder="1" applyAlignment="1">
      <alignment horizontal="center" vertical="center"/>
    </xf>
    <xf numFmtId="0" fontId="36" fillId="0" borderId="0" xfId="6" applyFont="1" applyAlignment="1">
      <alignment vertical="center"/>
    </xf>
    <xf numFmtId="4" fontId="36" fillId="0" borderId="0" xfId="6" applyNumberFormat="1" applyFont="1" applyAlignment="1">
      <alignment vertical="center"/>
    </xf>
    <xf numFmtId="0" fontId="36" fillId="4" borderId="4" xfId="22" applyFont="1" applyFill="1" applyBorder="1" applyAlignment="1">
      <alignment horizontal="center" vertical="top"/>
    </xf>
    <xf numFmtId="0" fontId="38" fillId="0" borderId="12" xfId="6" applyFont="1" applyBorder="1" applyAlignment="1">
      <alignment horizontal="center" vertical="center"/>
    </xf>
    <xf numFmtId="0" fontId="13" fillId="0" borderId="4" xfId="6" applyFont="1" applyBorder="1"/>
    <xf numFmtId="0" fontId="13" fillId="0" borderId="6" xfId="6" applyFont="1" applyBorder="1"/>
    <xf numFmtId="0" fontId="13" fillId="0" borderId="9" xfId="6" applyFont="1" applyBorder="1"/>
    <xf numFmtId="0" fontId="13" fillId="0" borderId="6" xfId="22" applyFont="1" applyFill="1" applyBorder="1" applyAlignment="1">
      <alignment horizontal="center" vertical="top"/>
    </xf>
    <xf numFmtId="0" fontId="13" fillId="0" borderId="4" xfId="6" applyFont="1" applyBorder="1" applyAlignment="1">
      <alignment vertical="center" wrapText="1"/>
    </xf>
    <xf numFmtId="4" fontId="13" fillId="0" borderId="12" xfId="6" applyNumberFormat="1" applyFont="1" applyBorder="1"/>
    <xf numFmtId="0" fontId="13" fillId="0" borderId="21" xfId="6" applyFont="1" applyBorder="1"/>
    <xf numFmtId="0" fontId="13" fillId="0" borderId="8" xfId="6" applyFont="1" applyBorder="1"/>
    <xf numFmtId="0" fontId="13" fillId="0" borderId="8" xfId="22" applyFont="1" applyFill="1" applyBorder="1" applyAlignment="1">
      <alignment horizontal="center" vertical="top"/>
    </xf>
    <xf numFmtId="0" fontId="13" fillId="0" borderId="38" xfId="6" applyFont="1" applyBorder="1" applyAlignment="1">
      <alignment horizontal="left" wrapText="1"/>
    </xf>
    <xf numFmtId="4" fontId="13" fillId="0" borderId="27" xfId="6" applyNumberFormat="1" applyFont="1" applyBorder="1"/>
    <xf numFmtId="0" fontId="43" fillId="0" borderId="0" xfId="6" applyFont="1"/>
    <xf numFmtId="0" fontId="13" fillId="0" borderId="0" xfId="22" applyFont="1" applyFill="1" applyBorder="1" applyAlignment="1">
      <alignment horizontal="center" vertical="top"/>
    </xf>
    <xf numFmtId="0" fontId="13" fillId="0" borderId="38" xfId="6" applyFont="1" applyBorder="1" applyAlignment="1">
      <alignment horizontal="left" vertical="center" wrapText="1"/>
    </xf>
    <xf numFmtId="0" fontId="13" fillId="0" borderId="50" xfId="6" applyFont="1" applyBorder="1" applyAlignment="1">
      <alignment horizontal="left" vertical="center" wrapText="1"/>
    </xf>
    <xf numFmtId="4" fontId="13" fillId="0" borderId="51" xfId="6" applyNumberFormat="1" applyFont="1" applyBorder="1"/>
    <xf numFmtId="0" fontId="13" fillId="0" borderId="22" xfId="6" applyFont="1" applyBorder="1"/>
    <xf numFmtId="0" fontId="13" fillId="0" borderId="44" xfId="6" applyFont="1" applyBorder="1"/>
    <xf numFmtId="0" fontId="13" fillId="0" borderId="11" xfId="6" applyFont="1" applyBorder="1"/>
    <xf numFmtId="0" fontId="13" fillId="0" borderId="44" xfId="22" applyFont="1" applyFill="1" applyBorder="1" applyAlignment="1">
      <alignment horizontal="center" vertical="top"/>
    </xf>
    <xf numFmtId="0" fontId="13" fillId="0" borderId="22" xfId="6" applyFont="1" applyBorder="1" applyAlignment="1">
      <alignment horizontal="left" wrapText="1"/>
    </xf>
    <xf numFmtId="4" fontId="13" fillId="0" borderId="3" xfId="6" applyNumberFormat="1" applyFont="1" applyBorder="1"/>
    <xf numFmtId="0" fontId="36" fillId="4" borderId="4" xfId="6" applyFont="1" applyFill="1" applyBorder="1"/>
    <xf numFmtId="0" fontId="13" fillId="0" borderId="39" xfId="6" applyFont="1" applyBorder="1" applyAlignment="1">
      <alignment horizontal="left" vertical="center" wrapText="1"/>
    </xf>
    <xf numFmtId="4" fontId="13" fillId="0" borderId="52" xfId="6" applyNumberFormat="1" applyFont="1" applyBorder="1"/>
    <xf numFmtId="0" fontId="13" fillId="0" borderId="20" xfId="6" applyFont="1" applyBorder="1"/>
    <xf numFmtId="0" fontId="13" fillId="0" borderId="5" xfId="6" applyFont="1" applyBorder="1"/>
    <xf numFmtId="0" fontId="13" fillId="0" borderId="7" xfId="6" applyFont="1" applyBorder="1"/>
    <xf numFmtId="0" fontId="13" fillId="0" borderId="5" xfId="22" applyFont="1" applyFill="1" applyBorder="1" applyAlignment="1">
      <alignment horizontal="center" vertical="top"/>
    </xf>
    <xf numFmtId="0" fontId="13" fillId="0" borderId="39" xfId="6" applyFont="1" applyBorder="1" applyAlignment="1">
      <alignment vertical="center" wrapText="1"/>
    </xf>
    <xf numFmtId="0" fontId="13" fillId="0" borderId="50" xfId="6" applyFont="1" applyBorder="1" applyAlignment="1">
      <alignment vertical="center" wrapText="1"/>
    </xf>
    <xf numFmtId="0" fontId="13" fillId="0" borderId="50" xfId="6" applyFont="1" applyBorder="1"/>
    <xf numFmtId="0" fontId="13" fillId="0" borderId="22" xfId="6" applyFont="1" applyBorder="1" applyAlignment="1">
      <alignment vertical="center" wrapText="1"/>
    </xf>
    <xf numFmtId="0" fontId="13" fillId="0" borderId="1" xfId="22" applyFont="1" applyFill="1" applyBorder="1" applyAlignment="1">
      <alignment horizontal="center" vertical="top"/>
    </xf>
    <xf numFmtId="0" fontId="13" fillId="0" borderId="36" xfId="6" applyFont="1" applyBorder="1" applyAlignment="1">
      <alignment vertical="center" wrapText="1"/>
    </xf>
    <xf numFmtId="4" fontId="13" fillId="0" borderId="17" xfId="6" applyNumberFormat="1" applyFont="1" applyBorder="1"/>
    <xf numFmtId="0" fontId="36" fillId="4" borderId="12" xfId="22" applyFont="1" applyFill="1" applyBorder="1" applyAlignment="1">
      <alignment horizontal="center"/>
    </xf>
    <xf numFmtId="0" fontId="36" fillId="4" borderId="6" xfId="6" applyFont="1" applyFill="1" applyBorder="1"/>
    <xf numFmtId="0" fontId="13" fillId="0" borderId="12" xfId="22" applyFont="1" applyFill="1" applyBorder="1" applyAlignment="1">
      <alignment horizontal="center" vertical="top"/>
    </xf>
    <xf numFmtId="0" fontId="13" fillId="0" borderId="6" xfId="6" applyFont="1" applyBorder="1" applyAlignment="1">
      <alignment horizontal="left" vertical="center" wrapText="1"/>
    </xf>
    <xf numFmtId="0" fontId="36" fillId="4" borderId="12" xfId="22" applyFont="1" applyFill="1" applyBorder="1" applyAlignment="1">
      <alignment horizontal="center" vertical="center" wrapText="1"/>
    </xf>
    <xf numFmtId="0" fontId="36" fillId="4" borderId="6" xfId="6" applyFont="1" applyFill="1" applyBorder="1" applyAlignment="1">
      <alignment vertical="center"/>
    </xf>
    <xf numFmtId="0" fontId="13" fillId="0" borderId="39" xfId="6" applyFont="1" applyBorder="1"/>
    <xf numFmtId="0" fontId="13" fillId="0" borderId="50" xfId="6" applyFont="1" applyBorder="1" applyAlignment="1">
      <alignment horizontal="left" wrapText="1"/>
    </xf>
    <xf numFmtId="0" fontId="13" fillId="0" borderId="0" xfId="22" quotePrefix="1" applyFont="1" applyFill="1" applyBorder="1" applyAlignment="1">
      <alignment horizontal="center" vertical="top"/>
    </xf>
    <xf numFmtId="0" fontId="13" fillId="0" borderId="38" xfId="6" applyFont="1" applyBorder="1"/>
    <xf numFmtId="0" fontId="13" fillId="0" borderId="8" xfId="22" quotePrefix="1" applyFont="1" applyFill="1" applyBorder="1" applyAlignment="1">
      <alignment horizontal="center" vertical="top"/>
    </xf>
    <xf numFmtId="0" fontId="36" fillId="0" borderId="4" xfId="22" applyFont="1" applyFill="1" applyBorder="1" applyAlignment="1">
      <alignment horizontal="center" vertical="center" wrapText="1"/>
    </xf>
    <xf numFmtId="0" fontId="13" fillId="0" borderId="53" xfId="6" applyFont="1" applyBorder="1" applyAlignment="1">
      <alignment horizontal="left" vertical="center" wrapText="1"/>
    </xf>
    <xf numFmtId="4" fontId="13" fillId="0" borderId="54" xfId="6" applyNumberFormat="1" applyFont="1" applyBorder="1"/>
    <xf numFmtId="0" fontId="13" fillId="0" borderId="39" xfId="6" applyFont="1" applyBorder="1" applyAlignment="1">
      <alignment horizontal="left" wrapText="1"/>
    </xf>
    <xf numFmtId="0" fontId="13" fillId="0" borderId="38" xfId="6" applyFont="1" applyBorder="1" applyAlignment="1">
      <alignment wrapText="1"/>
    </xf>
    <xf numFmtId="0" fontId="13" fillId="0" borderId="0" xfId="6" applyFont="1" applyAlignment="1">
      <alignment vertical="center"/>
    </xf>
    <xf numFmtId="0" fontId="13" fillId="0" borderId="38" xfId="6" applyFont="1" applyBorder="1" applyAlignment="1">
      <alignment vertical="center" wrapText="1"/>
    </xf>
    <xf numFmtId="0" fontId="13" fillId="0" borderId="22" xfId="6" applyFont="1" applyBorder="1" applyAlignment="1">
      <alignment horizontal="left" vertical="center" wrapText="1"/>
    </xf>
    <xf numFmtId="0" fontId="36" fillId="0" borderId="12" xfId="22" applyFont="1" applyFill="1" applyBorder="1" applyAlignment="1">
      <alignment horizontal="center" vertical="top"/>
    </xf>
    <xf numFmtId="0" fontId="13" fillId="0" borderId="5" xfId="22" quotePrefix="1" applyFont="1" applyFill="1" applyBorder="1" applyAlignment="1">
      <alignment horizontal="center" vertical="top"/>
    </xf>
    <xf numFmtId="0" fontId="13" fillId="0" borderId="44" xfId="22" quotePrefix="1" applyFont="1" applyFill="1" applyBorder="1" applyAlignment="1">
      <alignment horizontal="center" vertical="top"/>
    </xf>
    <xf numFmtId="0" fontId="13" fillId="0" borderId="27" xfId="6" applyFont="1" applyBorder="1" applyAlignment="1">
      <alignment horizontal="left" vertical="center" wrapText="1"/>
    </xf>
    <xf numFmtId="0" fontId="36" fillId="0" borderId="3" xfId="6" applyFont="1" applyBorder="1"/>
    <xf numFmtId="0" fontId="36" fillId="0" borderId="12" xfId="22" applyFont="1" applyFill="1" applyBorder="1" applyAlignment="1">
      <alignment horizontal="center"/>
    </xf>
    <xf numFmtId="0" fontId="36" fillId="4" borderId="44" xfId="6" applyFont="1" applyFill="1" applyBorder="1"/>
    <xf numFmtId="0" fontId="13" fillId="0" borderId="3" xfId="22" applyFont="1" applyFill="1" applyBorder="1" applyAlignment="1">
      <alignment horizontal="center" vertical="top"/>
    </xf>
    <xf numFmtId="0" fontId="13" fillId="0" borderId="6" xfId="6" applyFont="1" applyBorder="1" applyAlignment="1">
      <alignment vertical="top" wrapText="1"/>
    </xf>
    <xf numFmtId="0" fontId="36" fillId="0" borderId="12" xfId="22" applyFont="1" applyFill="1" applyBorder="1" applyAlignment="1">
      <alignment horizontal="center" vertical="center" wrapText="1"/>
    </xf>
    <xf numFmtId="0" fontId="13" fillId="0" borderId="51" xfId="6" applyFont="1" applyBorder="1" applyAlignment="1">
      <alignment vertical="center" wrapText="1"/>
    </xf>
    <xf numFmtId="4" fontId="13" fillId="0" borderId="2" xfId="6" applyNumberFormat="1" applyFont="1" applyBorder="1"/>
    <xf numFmtId="0" fontId="36" fillId="0" borderId="3" xfId="6" applyFont="1" applyBorder="1" applyAlignment="1">
      <alignment vertical="center"/>
    </xf>
    <xf numFmtId="0" fontId="36" fillId="0" borderId="12" xfId="22" applyFont="1" applyFill="1" applyBorder="1" applyAlignment="1">
      <alignment horizontal="center" vertical="center"/>
    </xf>
    <xf numFmtId="0" fontId="36" fillId="4" borderId="4" xfId="6" applyFont="1" applyFill="1" applyBorder="1" applyAlignment="1">
      <alignment horizontal="left" vertical="top" wrapText="1"/>
    </xf>
    <xf numFmtId="0" fontId="13" fillId="0" borderId="55" xfId="6" applyFont="1" applyBorder="1" applyAlignment="1">
      <alignment vertical="top" wrapText="1"/>
    </xf>
    <xf numFmtId="4" fontId="13" fillId="4" borderId="12" xfId="6" applyNumberFormat="1" applyFont="1" applyFill="1" applyBorder="1"/>
    <xf numFmtId="0" fontId="38" fillId="0" borderId="4" xfId="6" applyFont="1" applyBorder="1" applyAlignment="1">
      <alignment horizontal="center" vertical="center"/>
    </xf>
    <xf numFmtId="0" fontId="38" fillId="0" borderId="6" xfId="6" applyFont="1" applyBorder="1" applyAlignment="1">
      <alignment horizontal="center" vertical="center"/>
    </xf>
    <xf numFmtId="4" fontId="38" fillId="0" borderId="12" xfId="6" applyNumberFormat="1" applyFont="1" applyBorder="1" applyAlignment="1">
      <alignment vertical="center"/>
    </xf>
    <xf numFmtId="0" fontId="27" fillId="0" borderId="0" xfId="4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3" fontId="13" fillId="0" borderId="27" xfId="23" applyNumberFormat="1" applyFont="1" applyBorder="1"/>
    <xf numFmtId="0" fontId="13" fillId="0" borderId="38" xfId="23" applyFont="1" applyBorder="1"/>
    <xf numFmtId="0" fontId="13" fillId="0" borderId="27" xfId="2" applyFont="1" applyBorder="1" applyAlignment="1">
      <alignment horizontal="left" vertical="top" wrapText="1"/>
    </xf>
    <xf numFmtId="0" fontId="13" fillId="0" borderId="27" xfId="23" applyFont="1" applyBorder="1" applyAlignment="1">
      <alignment vertical="center"/>
    </xf>
    <xf numFmtId="0" fontId="13" fillId="0" borderId="27" xfId="2" applyFont="1" applyBorder="1"/>
    <xf numFmtId="0" fontId="13" fillId="0" borderId="38" xfId="23" applyFont="1" applyBorder="1" applyAlignment="1">
      <alignment vertical="center" wrapText="1"/>
    </xf>
    <xf numFmtId="0" fontId="13" fillId="0" borderId="27" xfId="23" applyFont="1" applyBorder="1"/>
    <xf numFmtId="0" fontId="13" fillId="0" borderId="39" xfId="23" applyFont="1" applyBorder="1"/>
    <xf numFmtId="0" fontId="13" fillId="0" borderId="27" xfId="2" applyFont="1" applyBorder="1" applyAlignment="1">
      <alignment vertical="center" wrapText="1"/>
    </xf>
    <xf numFmtId="0" fontId="13" fillId="0" borderId="27" xfId="2" applyFont="1" applyBorder="1" applyAlignment="1">
      <alignment horizontal="left"/>
    </xf>
    <xf numFmtId="0" fontId="13" fillId="0" borderId="27" xfId="2" applyFont="1" applyBorder="1" applyAlignment="1">
      <alignment wrapText="1"/>
    </xf>
    <xf numFmtId="0" fontId="13" fillId="0" borderId="27" xfId="23" applyFont="1" applyBorder="1" applyAlignment="1">
      <alignment vertical="top" wrapText="1"/>
    </xf>
    <xf numFmtId="4" fontId="13" fillId="0" borderId="27" xfId="2" applyNumberFormat="1" applyFont="1" applyBorder="1" applyAlignment="1">
      <alignment horizontal="right"/>
    </xf>
    <xf numFmtId="3" fontId="13" fillId="0" borderId="38" xfId="23" applyNumberFormat="1" applyFont="1" applyBorder="1"/>
    <xf numFmtId="0" fontId="13" fillId="0" borderId="27" xfId="2" applyFont="1" applyBorder="1" applyAlignment="1">
      <alignment vertical="top" wrapText="1"/>
    </xf>
    <xf numFmtId="0" fontId="11" fillId="0" borderId="12" xfId="23" applyFont="1" applyBorder="1" applyAlignment="1">
      <alignment horizontal="center" vertical="center" wrapText="1"/>
    </xf>
    <xf numFmtId="4" fontId="44" fillId="0" borderId="12" xfId="23" applyNumberFormat="1" applyFont="1" applyBorder="1" applyAlignment="1">
      <alignment horizontal="right" vertical="center" wrapText="1"/>
    </xf>
    <xf numFmtId="3" fontId="12" fillId="0" borderId="0" xfId="23" applyNumberFormat="1" applyFont="1"/>
    <xf numFmtId="1" fontId="45" fillId="0" borderId="12" xfId="23" applyNumberFormat="1" applyFont="1" applyBorder="1" applyAlignment="1">
      <alignment horizontal="center" vertical="center" wrapText="1"/>
    </xf>
    <xf numFmtId="1" fontId="46" fillId="0" borderId="12" xfId="23" applyNumberFormat="1" applyFont="1" applyBorder="1" applyAlignment="1">
      <alignment horizontal="center" vertical="center" wrapText="1"/>
    </xf>
    <xf numFmtId="3" fontId="40" fillId="0" borderId="12" xfId="23" applyNumberFormat="1" applyFont="1" applyBorder="1" applyAlignment="1">
      <alignment horizontal="center" vertical="center" wrapText="1"/>
    </xf>
    <xf numFmtId="3" fontId="24" fillId="0" borderId="12" xfId="23" applyNumberFormat="1" applyFont="1" applyBorder="1" applyAlignment="1">
      <alignment horizontal="center" vertical="center" wrapText="1"/>
    </xf>
    <xf numFmtId="0" fontId="24" fillId="0" borderId="12" xfId="23" applyFont="1" applyBorder="1" applyAlignment="1">
      <alignment horizontal="center" wrapText="1"/>
    </xf>
    <xf numFmtId="0" fontId="24" fillId="0" borderId="12" xfId="23" applyFont="1" applyBorder="1" applyAlignment="1">
      <alignment horizontal="center"/>
    </xf>
    <xf numFmtId="3" fontId="24" fillId="0" borderId="1" xfId="23" applyNumberFormat="1" applyFont="1" applyBorder="1" applyAlignment="1">
      <alignment horizontal="center" vertical="center" wrapText="1"/>
    </xf>
    <xf numFmtId="0" fontId="47" fillId="0" borderId="1" xfId="23" applyFont="1" applyBorder="1" applyAlignment="1">
      <alignment vertical="center" wrapText="1"/>
    </xf>
    <xf numFmtId="0" fontId="24" fillId="0" borderId="1" xfId="23" applyFont="1" applyBorder="1" applyAlignment="1">
      <alignment horizontal="center" vertical="center" wrapText="1"/>
    </xf>
    <xf numFmtId="3" fontId="24" fillId="0" borderId="3" xfId="23" applyNumberFormat="1" applyFont="1" applyBorder="1" applyAlignment="1">
      <alignment horizontal="center" vertical="center" wrapText="1"/>
    </xf>
    <xf numFmtId="0" fontId="24" fillId="0" borderId="3" xfId="23" applyFont="1" applyBorder="1" applyAlignment="1">
      <alignment horizontal="center" wrapText="1"/>
    </xf>
    <xf numFmtId="0" fontId="47" fillId="0" borderId="1" xfId="3" applyFont="1" applyBorder="1" applyAlignment="1">
      <alignment vertical="center" wrapText="1"/>
    </xf>
    <xf numFmtId="3" fontId="24" fillId="0" borderId="2" xfId="23" applyNumberFormat="1" applyFont="1" applyBorder="1" applyAlignment="1">
      <alignment horizontal="center" vertical="center" wrapText="1"/>
    </xf>
    <xf numFmtId="0" fontId="31" fillId="0" borderId="12" xfId="23" applyFont="1" applyBorder="1" applyAlignment="1">
      <alignment horizontal="center"/>
    </xf>
    <xf numFmtId="0" fontId="24" fillId="0" borderId="3" xfId="23" applyFont="1" applyBorder="1" applyAlignment="1">
      <alignment horizontal="center" vertical="center" wrapText="1"/>
    </xf>
    <xf numFmtId="0" fontId="24" fillId="0" borderId="1" xfId="23" applyFont="1" applyBorder="1" applyAlignment="1">
      <alignment horizontal="center" wrapText="1"/>
    </xf>
    <xf numFmtId="0" fontId="19" fillId="0" borderId="0" xfId="7" applyFont="1"/>
    <xf numFmtId="0" fontId="17" fillId="0" borderId="13" xfId="7" applyFont="1" applyBorder="1" applyAlignment="1">
      <alignment vertical="center"/>
    </xf>
    <xf numFmtId="4" fontId="17" fillId="0" borderId="13" xfId="7" applyNumberFormat="1" applyFont="1" applyBorder="1" applyAlignment="1">
      <alignment horizontal="center" vertical="center"/>
    </xf>
    <xf numFmtId="4" fontId="17" fillId="0" borderId="13" xfId="7" applyNumberFormat="1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4" fontId="17" fillId="0" borderId="14" xfId="7" applyNumberFormat="1" applyFont="1" applyBorder="1" applyAlignment="1">
      <alignment horizontal="center" vertical="center"/>
    </xf>
    <xf numFmtId="4" fontId="17" fillId="0" borderId="14" xfId="7" applyNumberFormat="1" applyFont="1" applyBorder="1" applyAlignment="1">
      <alignment vertical="center"/>
    </xf>
    <xf numFmtId="4" fontId="1" fillId="0" borderId="34" xfId="0" applyNumberFormat="1" applyFont="1" applyBorder="1" applyAlignment="1">
      <alignment horizontal="center" vertical="center"/>
    </xf>
    <xf numFmtId="4" fontId="48" fillId="0" borderId="34" xfId="0" applyNumberFormat="1" applyFont="1" applyBorder="1" applyAlignment="1">
      <alignment horizontal="center" vertical="center"/>
    </xf>
    <xf numFmtId="4" fontId="48" fillId="0" borderId="35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/>
    </xf>
    <xf numFmtId="4" fontId="48" fillId="0" borderId="36" xfId="0" applyNumberFormat="1" applyFont="1" applyBorder="1" applyAlignment="1">
      <alignment horizontal="center"/>
    </xf>
    <xf numFmtId="4" fontId="48" fillId="0" borderId="37" xfId="0" applyNumberFormat="1" applyFont="1" applyBorder="1" applyAlignment="1">
      <alignment horizontal="center"/>
    </xf>
    <xf numFmtId="0" fontId="17" fillId="0" borderId="14" xfId="7" applyFont="1" applyBorder="1"/>
    <xf numFmtId="0" fontId="17" fillId="0" borderId="2" xfId="7" applyFont="1" applyBorder="1"/>
    <xf numFmtId="0" fontId="49" fillId="0" borderId="0" xfId="7" applyFont="1"/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38" fillId="0" borderId="4" xfId="6" applyFont="1" applyBorder="1" applyAlignment="1">
      <alignment horizontal="left" vertical="center"/>
    </xf>
    <xf numFmtId="0" fontId="38" fillId="0" borderId="6" xfId="6" applyFont="1" applyBorder="1" applyAlignment="1">
      <alignment horizontal="left" vertical="center"/>
    </xf>
    <xf numFmtId="0" fontId="38" fillId="0" borderId="9" xfId="6" applyFont="1" applyBorder="1" applyAlignment="1">
      <alignment horizontal="left" vertical="center"/>
    </xf>
    <xf numFmtId="0" fontId="36" fillId="0" borderId="4" xfId="6" applyFont="1" applyBorder="1" applyAlignment="1">
      <alignment horizontal="center" vertical="center"/>
    </xf>
    <xf numFmtId="0" fontId="36" fillId="0" borderId="6" xfId="6" applyFont="1" applyBorder="1" applyAlignment="1">
      <alignment horizontal="center" vertical="center"/>
    </xf>
    <xf numFmtId="0" fontId="36" fillId="0" borderId="4" xfId="6" applyFont="1" applyBorder="1" applyAlignment="1">
      <alignment horizontal="center"/>
    </xf>
    <xf numFmtId="0" fontId="36" fillId="0" borderId="6" xfId="6" applyFont="1" applyBorder="1" applyAlignment="1">
      <alignment horizontal="center"/>
    </xf>
  </cellXfs>
  <cellStyles count="26">
    <cellStyle name="Dziesiętny 2" xfId="10" xr:uid="{E9A14E6F-3DF2-4227-8F71-E69D51F15D7B}"/>
    <cellStyle name="Dziesiętny 2 2" xfId="25" xr:uid="{C52CC040-2732-4AF2-A0D1-9522A1C01D29}"/>
    <cellStyle name="Dziesiętny 3" xfId="13" xr:uid="{DDF87B10-1079-4C96-84DA-CB88A2FB5626}"/>
    <cellStyle name="Dziesiętny 4" xfId="16" xr:uid="{EBA40356-AED7-4DC6-B249-F8DFB05A3C0F}"/>
    <cellStyle name="Dziesiętny 5" xfId="21" xr:uid="{EAAFEA2F-906B-46C0-B919-1D6C56F45168}"/>
    <cellStyle name="Dziesiętny 6" xfId="24" xr:uid="{DFA0BD1C-73AF-4E65-AEAA-DB7B8BD9B226}"/>
    <cellStyle name="Excel Built-in Normal" xfId="3" xr:uid="{E3AD303E-B6ED-4A12-8F1F-9DEFB7B5936B}"/>
    <cellStyle name="Normalny" xfId="0" builtinId="0"/>
    <cellStyle name="Normalny 10" xfId="19" xr:uid="{1D4BD041-A27E-4FE2-9D0D-81407182CC4B}"/>
    <cellStyle name="Normalny 11" xfId="23" xr:uid="{1F87344E-A986-43DC-B334-4B60308D003C}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8" xr:uid="{50CA42C5-C5F9-4917-BA96-44405F2DE6C9}"/>
    <cellStyle name="Normalny 3 4" xfId="17" xr:uid="{FC333F1A-71A0-4E68-9787-EA6AF3AAC780}"/>
    <cellStyle name="Normalny 3 5" xfId="20" xr:uid="{0595B3EE-C102-4B91-8EED-E4F1FEDA9326}"/>
    <cellStyle name="Normalny 4" xfId="5" xr:uid="{062766E0-B7C7-4C2B-B664-14A5855A1A26}"/>
    <cellStyle name="Normalny 5" xfId="9" xr:uid="{F44F16B4-1CB7-4650-A303-F3BA7240BED7}"/>
    <cellStyle name="Normalny 6" xfId="11" xr:uid="{AB038D41-F522-46C7-AF6A-80A2686A368B}"/>
    <cellStyle name="Normalny 7" xfId="12" xr:uid="{407EC8DC-11C1-4C35-9266-F7542A9F4A29}"/>
    <cellStyle name="Normalny 7 2" xfId="18" xr:uid="{FB20A93D-A847-4B3C-992E-5AAF61B673CC}"/>
    <cellStyle name="Normalny 8" xfId="14" xr:uid="{E09499F5-33EB-4E7E-BCE3-71E55041BD63}"/>
    <cellStyle name="Normalny 9" xfId="15" xr:uid="{B1B8EAF8-23F9-4302-A479-ED3576A905A9}"/>
    <cellStyle name="Normalny_zal_Szczecin" xfId="7" xr:uid="{EB781D96-7C4A-408F-8732-AF0587C156DF}"/>
    <cellStyle name="Zły" xfId="22" builtinId="27"/>
  </cellStyles>
  <dxfs count="0"/>
  <tableStyles count="0" defaultTableStyle="TableStyleMedium2" defaultPivotStyle="PivotStyleLight16"/>
  <colors>
    <mruColors>
      <color rgb="FF33CCFF"/>
      <color rgb="FF9933FF"/>
      <color rgb="FF660033"/>
      <color rgb="FFFF66FF"/>
      <color rgb="FFFF00FF"/>
      <color rgb="FF66CCFF"/>
      <color rgb="FFCCFF33"/>
      <color rgb="FFFFCC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C90-29CF-4E46-85FD-6F6747F2FBDB}">
  <sheetPr>
    <tabColor rgb="FF9933FF"/>
  </sheetPr>
  <dimension ref="A1:H195"/>
  <sheetViews>
    <sheetView tabSelected="1" zoomScale="150" zoomScaleNormal="150" workbookViewId="0"/>
  </sheetViews>
  <sheetFormatPr defaultColWidth="9.140625" defaultRowHeight="16.5" x14ac:dyDescent="0.3"/>
  <cols>
    <col min="1" max="1" width="4.140625" style="60" customWidth="1"/>
    <col min="2" max="2" width="5.5703125" style="175" customWidth="1"/>
    <col min="3" max="3" width="5" style="60" customWidth="1"/>
    <col min="4" max="4" width="39.28515625" style="60" customWidth="1"/>
    <col min="5" max="5" width="12.5703125" style="60" customWidth="1"/>
    <col min="6" max="6" width="12" style="60" customWidth="1"/>
    <col min="7" max="7" width="11.85546875" style="60" customWidth="1"/>
    <col min="8" max="8" width="12.7109375" style="60" customWidth="1"/>
    <col min="9" max="9" width="10.28515625" style="60" customWidth="1"/>
    <col min="10" max="16384" width="9.140625" style="60"/>
  </cols>
  <sheetData>
    <row r="1" spans="1:8" ht="12.75" customHeight="1" x14ac:dyDescent="0.3">
      <c r="A1" s="54"/>
      <c r="B1" s="55"/>
      <c r="C1" s="56"/>
      <c r="D1" s="57"/>
      <c r="E1" s="57"/>
      <c r="F1" s="57"/>
      <c r="G1" s="57" t="s">
        <v>0</v>
      </c>
      <c r="H1" s="58"/>
    </row>
    <row r="2" spans="1:8" ht="12.75" customHeight="1" x14ac:dyDescent="0.3">
      <c r="A2" s="58"/>
      <c r="B2" s="55"/>
      <c r="C2" s="56"/>
      <c r="D2" s="57"/>
      <c r="E2" s="57"/>
      <c r="F2" s="58"/>
      <c r="G2" s="58" t="s">
        <v>435</v>
      </c>
      <c r="H2" s="58"/>
    </row>
    <row r="3" spans="1:8" ht="12.75" customHeight="1" x14ac:dyDescent="0.3">
      <c r="A3" s="58"/>
      <c r="B3" s="55"/>
      <c r="C3" s="56"/>
      <c r="D3" s="57"/>
      <c r="E3" s="57"/>
      <c r="F3" s="58"/>
      <c r="G3" s="58" t="s">
        <v>1</v>
      </c>
      <c r="H3" s="58"/>
    </row>
    <row r="4" spans="1:8" ht="12.75" customHeight="1" x14ac:dyDescent="0.3">
      <c r="A4" s="58"/>
      <c r="B4" s="55"/>
      <c r="C4" s="56"/>
      <c r="D4" s="57"/>
      <c r="E4" s="57"/>
      <c r="F4" s="57"/>
      <c r="G4" s="57" t="s">
        <v>201</v>
      </c>
      <c r="H4" s="58"/>
    </row>
    <row r="5" spans="1:8" ht="14.25" customHeight="1" x14ac:dyDescent="0.3">
      <c r="A5" s="61" t="s">
        <v>71</v>
      </c>
      <c r="B5" s="62"/>
      <c r="C5" s="63"/>
      <c r="D5" s="63"/>
      <c r="E5" s="62"/>
      <c r="F5" s="62"/>
      <c r="G5" s="61"/>
      <c r="H5" s="62"/>
    </row>
    <row r="6" spans="1:8" ht="10.5" customHeight="1" x14ac:dyDescent="0.3">
      <c r="A6" s="58"/>
      <c r="B6" s="55"/>
      <c r="C6" s="56"/>
      <c r="D6" s="56"/>
      <c r="E6" s="64"/>
      <c r="F6" s="58"/>
      <c r="G6" s="65"/>
      <c r="H6" s="66" t="s">
        <v>2</v>
      </c>
    </row>
    <row r="7" spans="1:8" s="74" customFormat="1" ht="12.75" x14ac:dyDescent="0.25">
      <c r="A7" s="67"/>
      <c r="B7" s="68"/>
      <c r="C7" s="69"/>
      <c r="D7" s="70"/>
      <c r="E7" s="71" t="s">
        <v>60</v>
      </c>
      <c r="F7" s="72"/>
      <c r="G7" s="73"/>
      <c r="H7" s="71" t="s">
        <v>60</v>
      </c>
    </row>
    <row r="8" spans="1:8" s="74" customFormat="1" ht="12.75" x14ac:dyDescent="0.25">
      <c r="A8" s="75" t="s">
        <v>61</v>
      </c>
      <c r="B8" s="76" t="s">
        <v>3</v>
      </c>
      <c r="C8" s="77" t="s">
        <v>4</v>
      </c>
      <c r="D8" s="78" t="s">
        <v>62</v>
      </c>
      <c r="E8" s="75" t="s">
        <v>63</v>
      </c>
      <c r="F8" s="79" t="s">
        <v>5</v>
      </c>
      <c r="G8" s="75" t="s">
        <v>6</v>
      </c>
      <c r="H8" s="75" t="s">
        <v>64</v>
      </c>
    </row>
    <row r="9" spans="1:8" s="74" customFormat="1" ht="4.5" customHeight="1" x14ac:dyDescent="0.25">
      <c r="A9" s="80"/>
      <c r="B9" s="81"/>
      <c r="C9" s="82"/>
      <c r="D9" s="83"/>
      <c r="E9" s="80"/>
      <c r="F9" s="84"/>
      <c r="G9" s="84"/>
      <c r="H9" s="80"/>
    </row>
    <row r="10" spans="1:8" s="74" customFormat="1" ht="21" customHeight="1" thickBot="1" x14ac:dyDescent="0.3">
      <c r="A10" s="85"/>
      <c r="B10" s="85"/>
      <c r="C10" s="86"/>
      <c r="D10" s="87" t="s">
        <v>72</v>
      </c>
      <c r="E10" s="88">
        <v>1320862744.02</v>
      </c>
      <c r="F10" s="88">
        <f>SUM(F11,F48,)</f>
        <v>957562.76</v>
      </c>
      <c r="G10" s="88">
        <f>SUM(G11,G48,)</f>
        <v>827818.09</v>
      </c>
      <c r="H10" s="88">
        <f t="shared" ref="H10:H33" si="0">SUM(E10+F10-G10)</f>
        <v>1320992488.6900001</v>
      </c>
    </row>
    <row r="11" spans="1:8" s="74" customFormat="1" ht="18" customHeight="1" thickBot="1" x14ac:dyDescent="0.3">
      <c r="A11" s="85"/>
      <c r="B11" s="85"/>
      <c r="C11" s="86"/>
      <c r="D11" s="89" t="s">
        <v>73</v>
      </c>
      <c r="E11" s="90">
        <v>1142745075.3199999</v>
      </c>
      <c r="F11" s="90">
        <f>SUM(F12,F22,F26,F30,,F34,F39,F44,)</f>
        <v>778187.4</v>
      </c>
      <c r="G11" s="90">
        <f>SUM(G12,G22,G26,G30,,G34,G39,G44,)</f>
        <v>0</v>
      </c>
      <c r="H11" s="90">
        <f t="shared" si="0"/>
        <v>1143523262.72</v>
      </c>
    </row>
    <row r="12" spans="1:8" s="74" customFormat="1" ht="18" customHeight="1" thickTop="1" thickBot="1" x14ac:dyDescent="0.3">
      <c r="A12" s="91">
        <v>600</v>
      </c>
      <c r="B12" s="92"/>
      <c r="C12" s="93"/>
      <c r="D12" s="94" t="s">
        <v>66</v>
      </c>
      <c r="E12" s="90">
        <v>101350291.18000001</v>
      </c>
      <c r="F12" s="90">
        <f>SUM(F13,)</f>
        <v>389018.69</v>
      </c>
      <c r="G12" s="90">
        <f>SUM(G13,)</f>
        <v>0</v>
      </c>
      <c r="H12" s="90">
        <f t="shared" si="0"/>
        <v>101739309.87</v>
      </c>
    </row>
    <row r="13" spans="1:8" s="74" customFormat="1" ht="12" customHeight="1" thickTop="1" x14ac:dyDescent="0.25">
      <c r="A13" s="91"/>
      <c r="B13" s="95">
        <v>60004</v>
      </c>
      <c r="C13" s="86"/>
      <c r="D13" s="96" t="s">
        <v>85</v>
      </c>
      <c r="E13" s="97">
        <v>77162284.090000004</v>
      </c>
      <c r="F13" s="97">
        <f>SUM(F14,F17,F20,)</f>
        <v>389018.69</v>
      </c>
      <c r="G13" s="97">
        <f>SUM(G14,G17,G20,)</f>
        <v>0</v>
      </c>
      <c r="H13" s="97">
        <f t="shared" si="0"/>
        <v>77551302.780000001</v>
      </c>
    </row>
    <row r="14" spans="1:8" s="74" customFormat="1" ht="12" customHeight="1" x14ac:dyDescent="0.25">
      <c r="A14" s="91"/>
      <c r="B14" s="92"/>
      <c r="C14" s="86"/>
      <c r="D14" s="534" t="s">
        <v>99</v>
      </c>
      <c r="E14" s="112">
        <v>8237543.3099999996</v>
      </c>
      <c r="F14" s="112">
        <f>SUM(F15:F16)</f>
        <v>196015.55</v>
      </c>
      <c r="G14" s="112">
        <f>SUM(G15:G16)</f>
        <v>0</v>
      </c>
      <c r="H14" s="135">
        <f t="shared" si="0"/>
        <v>8433558.8599999994</v>
      </c>
    </row>
    <row r="15" spans="1:8" s="74" customFormat="1" ht="12" customHeight="1" x14ac:dyDescent="0.25">
      <c r="A15" s="91"/>
      <c r="B15" s="92"/>
      <c r="C15" s="86" t="s">
        <v>100</v>
      </c>
      <c r="D15" s="98" t="s">
        <v>101</v>
      </c>
      <c r="E15" s="99">
        <v>515043.31</v>
      </c>
      <c r="F15" s="100">
        <v>123335.58</v>
      </c>
      <c r="G15" s="100"/>
      <c r="H15" s="99">
        <f t="shared" si="0"/>
        <v>638378.89</v>
      </c>
    </row>
    <row r="16" spans="1:8" s="74" customFormat="1" ht="12" customHeight="1" x14ac:dyDescent="0.25">
      <c r="A16" s="91"/>
      <c r="B16" s="92"/>
      <c r="C16" s="86" t="s">
        <v>102</v>
      </c>
      <c r="D16" s="98" t="s">
        <v>101</v>
      </c>
      <c r="E16" s="99">
        <v>0</v>
      </c>
      <c r="F16" s="100">
        <v>72679.97</v>
      </c>
      <c r="G16" s="100"/>
      <c r="H16" s="99">
        <f t="shared" si="0"/>
        <v>72679.97</v>
      </c>
    </row>
    <row r="17" spans="1:8" s="74" customFormat="1" ht="12" customHeight="1" x14ac:dyDescent="0.25">
      <c r="A17" s="91"/>
      <c r="B17" s="92"/>
      <c r="C17" s="86"/>
      <c r="D17" s="535" t="s">
        <v>103</v>
      </c>
      <c r="E17" s="112">
        <v>0</v>
      </c>
      <c r="F17" s="112">
        <f>SUM(F18:F19)</f>
        <v>48703.14</v>
      </c>
      <c r="G17" s="112">
        <f>SUM(G18:G19)</f>
        <v>0</v>
      </c>
      <c r="H17" s="135">
        <f t="shared" ref="H17:H21" si="1">SUM(E17+F17-G17)</f>
        <v>48703.14</v>
      </c>
    </row>
    <row r="18" spans="1:8" s="74" customFormat="1" ht="12" customHeight="1" x14ac:dyDescent="0.25">
      <c r="A18" s="91"/>
      <c r="B18" s="92"/>
      <c r="C18" s="86" t="s">
        <v>104</v>
      </c>
      <c r="D18" s="98" t="s">
        <v>101</v>
      </c>
      <c r="E18" s="99">
        <v>0</v>
      </c>
      <c r="F18" s="100">
        <v>38535.57</v>
      </c>
      <c r="G18" s="100"/>
      <c r="H18" s="99">
        <f t="shared" si="1"/>
        <v>38535.57</v>
      </c>
    </row>
    <row r="19" spans="1:8" s="74" customFormat="1" ht="12" customHeight="1" x14ac:dyDescent="0.25">
      <c r="A19" s="91"/>
      <c r="B19" s="92"/>
      <c r="C19" s="86" t="s">
        <v>102</v>
      </c>
      <c r="D19" s="98" t="s">
        <v>101</v>
      </c>
      <c r="E19" s="99">
        <v>0</v>
      </c>
      <c r="F19" s="100">
        <v>10167.57</v>
      </c>
      <c r="G19" s="100"/>
      <c r="H19" s="99">
        <f t="shared" si="1"/>
        <v>10167.57</v>
      </c>
    </row>
    <row r="20" spans="1:8" s="74" customFormat="1" ht="33" customHeight="1" x14ac:dyDescent="0.25">
      <c r="A20" s="91"/>
      <c r="B20" s="92"/>
      <c r="C20" s="102"/>
      <c r="D20" s="536" t="s">
        <v>105</v>
      </c>
      <c r="E20" s="112">
        <v>41637500</v>
      </c>
      <c r="F20" s="112">
        <f>SUM(F21:F21)</f>
        <v>144300</v>
      </c>
      <c r="G20" s="112">
        <f>SUM(G21:G21)</f>
        <v>0</v>
      </c>
      <c r="H20" s="135">
        <f t="shared" si="1"/>
        <v>41781800</v>
      </c>
    </row>
    <row r="21" spans="1:8" s="74" customFormat="1" ht="46.5" customHeight="1" x14ac:dyDescent="0.25">
      <c r="A21" s="91"/>
      <c r="B21" s="92"/>
      <c r="C21" s="102" t="s">
        <v>106</v>
      </c>
      <c r="D21" s="103" t="s">
        <v>107</v>
      </c>
      <c r="E21" s="100">
        <v>41637500</v>
      </c>
      <c r="F21" s="100">
        <v>144300</v>
      </c>
      <c r="G21" s="100"/>
      <c r="H21" s="99">
        <f t="shared" si="1"/>
        <v>41781800</v>
      </c>
    </row>
    <row r="22" spans="1:8" s="74" customFormat="1" ht="12" customHeight="1" thickBot="1" x14ac:dyDescent="0.3">
      <c r="A22" s="104">
        <v>710</v>
      </c>
      <c r="B22" s="105"/>
      <c r="C22" s="106"/>
      <c r="D22" s="107" t="s">
        <v>108</v>
      </c>
      <c r="E22" s="90">
        <v>3040370</v>
      </c>
      <c r="F22" s="108">
        <f>SUM(F23,)</f>
        <v>87490.13</v>
      </c>
      <c r="G22" s="108">
        <f>SUM(G23,)</f>
        <v>0</v>
      </c>
      <c r="H22" s="90">
        <f t="shared" ref="H22:H25" si="2">SUM(E22+F22-G22)</f>
        <v>3127860.13</v>
      </c>
    </row>
    <row r="23" spans="1:8" s="74" customFormat="1" ht="12" customHeight="1" thickTop="1" x14ac:dyDescent="0.25">
      <c r="A23" s="91"/>
      <c r="B23" s="105">
        <v>71035</v>
      </c>
      <c r="C23" s="109"/>
      <c r="D23" s="110" t="s">
        <v>109</v>
      </c>
      <c r="E23" s="111">
        <v>3040000</v>
      </c>
      <c r="F23" s="111">
        <f>SUM(F24)</f>
        <v>87490.13</v>
      </c>
      <c r="G23" s="111">
        <f>SUM(G24)</f>
        <v>0</v>
      </c>
      <c r="H23" s="97">
        <f t="shared" si="2"/>
        <v>3127490.13</v>
      </c>
    </row>
    <row r="24" spans="1:8" s="74" customFormat="1" ht="12" customHeight="1" x14ac:dyDescent="0.25">
      <c r="A24" s="91"/>
      <c r="B24" s="86"/>
      <c r="C24" s="86"/>
      <c r="D24" s="537" t="s">
        <v>110</v>
      </c>
      <c r="E24" s="112">
        <v>3000000</v>
      </c>
      <c r="F24" s="112">
        <f>SUM(F25:F25)</f>
        <v>87490.13</v>
      </c>
      <c r="G24" s="112">
        <f>SUM(G25:G25)</f>
        <v>0</v>
      </c>
      <c r="H24" s="135">
        <f t="shared" si="2"/>
        <v>3087490.13</v>
      </c>
    </row>
    <row r="25" spans="1:8" s="74" customFormat="1" ht="12" customHeight="1" x14ac:dyDescent="0.25">
      <c r="A25" s="91"/>
      <c r="B25" s="95"/>
      <c r="C25" s="86" t="s">
        <v>100</v>
      </c>
      <c r="D25" s="98" t="s">
        <v>101</v>
      </c>
      <c r="E25" s="100">
        <v>0</v>
      </c>
      <c r="F25" s="100">
        <v>87490.13</v>
      </c>
      <c r="G25" s="100"/>
      <c r="H25" s="99">
        <f t="shared" si="2"/>
        <v>87490.13</v>
      </c>
    </row>
    <row r="26" spans="1:8" s="74" customFormat="1" ht="12" customHeight="1" thickBot="1" x14ac:dyDescent="0.3">
      <c r="A26" s="91">
        <v>750</v>
      </c>
      <c r="B26" s="92"/>
      <c r="C26" s="93"/>
      <c r="D26" s="94" t="s">
        <v>111</v>
      </c>
      <c r="E26" s="90">
        <v>17859256.120000001</v>
      </c>
      <c r="F26" s="108">
        <f>SUM(F27,)</f>
        <v>20036.580000000002</v>
      </c>
      <c r="G26" s="108">
        <f>SUM(G27,)</f>
        <v>0</v>
      </c>
      <c r="H26" s="90">
        <f t="shared" si="0"/>
        <v>17879292.699999999</v>
      </c>
    </row>
    <row r="27" spans="1:8" s="74" customFormat="1" ht="12" customHeight="1" thickTop="1" x14ac:dyDescent="0.25">
      <c r="A27" s="85"/>
      <c r="B27" s="86" t="s">
        <v>112</v>
      </c>
      <c r="C27" s="113"/>
      <c r="D27" s="96" t="s">
        <v>113</v>
      </c>
      <c r="E27" s="97">
        <v>2242958.1</v>
      </c>
      <c r="F27" s="111">
        <f>SUM(F28)</f>
        <v>20036.580000000002</v>
      </c>
      <c r="G27" s="111">
        <f>SUM(G28)</f>
        <v>0</v>
      </c>
      <c r="H27" s="97">
        <f t="shared" si="0"/>
        <v>2262994.6800000002</v>
      </c>
    </row>
    <row r="28" spans="1:8" s="74" customFormat="1" ht="12" customHeight="1" x14ac:dyDescent="0.25">
      <c r="A28" s="85"/>
      <c r="B28" s="95"/>
      <c r="C28" s="86"/>
      <c r="D28" s="538" t="s">
        <v>114</v>
      </c>
      <c r="E28" s="135">
        <v>74600</v>
      </c>
      <c r="F28" s="135">
        <f>SUM(F29:F29)</f>
        <v>20036.580000000002</v>
      </c>
      <c r="G28" s="135">
        <f>SUM(G29:G29)</f>
        <v>0</v>
      </c>
      <c r="H28" s="135">
        <f t="shared" si="0"/>
        <v>94636.58</v>
      </c>
    </row>
    <row r="29" spans="1:8" s="74" customFormat="1" ht="12" customHeight="1" x14ac:dyDescent="0.25">
      <c r="A29" s="85"/>
      <c r="B29" s="95"/>
      <c r="C29" s="86" t="s">
        <v>115</v>
      </c>
      <c r="D29" s="95" t="s">
        <v>116</v>
      </c>
      <c r="E29" s="99">
        <v>51500</v>
      </c>
      <c r="F29" s="99">
        <v>20036.580000000002</v>
      </c>
      <c r="G29" s="99"/>
      <c r="H29" s="99">
        <f t="shared" si="0"/>
        <v>71536.58</v>
      </c>
    </row>
    <row r="30" spans="1:8" s="74" customFormat="1" ht="12" customHeight="1" thickBot="1" x14ac:dyDescent="0.3">
      <c r="A30" s="91">
        <v>754</v>
      </c>
      <c r="B30" s="76"/>
      <c r="C30" s="76"/>
      <c r="D30" s="114" t="s">
        <v>117</v>
      </c>
      <c r="E30" s="90">
        <v>561135.6</v>
      </c>
      <c r="F30" s="108">
        <f>SUM(F31,)</f>
        <v>2500</v>
      </c>
      <c r="G30" s="108">
        <f>SUM(G31,)</f>
        <v>0</v>
      </c>
      <c r="H30" s="90">
        <f t="shared" si="0"/>
        <v>563635.6</v>
      </c>
    </row>
    <row r="31" spans="1:8" s="74" customFormat="1" ht="12" customHeight="1" thickTop="1" x14ac:dyDescent="0.25">
      <c r="A31" s="91"/>
      <c r="B31" s="113">
        <v>75416</v>
      </c>
      <c r="C31" s="113"/>
      <c r="D31" s="96" t="s">
        <v>118</v>
      </c>
      <c r="E31" s="111">
        <v>148200</v>
      </c>
      <c r="F31" s="111">
        <f>SUM(F32)</f>
        <v>2500</v>
      </c>
      <c r="G31" s="111">
        <f>SUM(G32)</f>
        <v>0</v>
      </c>
      <c r="H31" s="97">
        <f t="shared" si="0"/>
        <v>150700</v>
      </c>
    </row>
    <row r="32" spans="1:8" s="74" customFormat="1" ht="12" customHeight="1" x14ac:dyDescent="0.25">
      <c r="A32" s="91"/>
      <c r="B32" s="86"/>
      <c r="C32" s="86"/>
      <c r="D32" s="539" t="s">
        <v>119</v>
      </c>
      <c r="E32" s="112">
        <v>6000</v>
      </c>
      <c r="F32" s="112">
        <f>SUM(F33:F33)</f>
        <v>2500</v>
      </c>
      <c r="G32" s="112">
        <f>SUM(G33:G33)</f>
        <v>0</v>
      </c>
      <c r="H32" s="135">
        <f t="shared" si="0"/>
        <v>8500</v>
      </c>
    </row>
    <row r="33" spans="1:8" s="74" customFormat="1" ht="11.25" customHeight="1" x14ac:dyDescent="0.25">
      <c r="A33" s="91"/>
      <c r="B33" s="95"/>
      <c r="C33" s="115" t="s">
        <v>120</v>
      </c>
      <c r="D33" s="116" t="s">
        <v>121</v>
      </c>
      <c r="E33" s="100">
        <v>6000</v>
      </c>
      <c r="F33" s="100">
        <v>2500</v>
      </c>
      <c r="G33" s="100"/>
      <c r="H33" s="99">
        <f t="shared" si="0"/>
        <v>8500</v>
      </c>
    </row>
    <row r="34" spans="1:8" s="74" customFormat="1" ht="12" customHeight="1" thickBot="1" x14ac:dyDescent="0.3">
      <c r="A34" s="91">
        <v>801</v>
      </c>
      <c r="B34" s="91"/>
      <c r="C34" s="93"/>
      <c r="D34" s="94" t="s">
        <v>122</v>
      </c>
      <c r="E34" s="108">
        <v>5131064.6900000004</v>
      </c>
      <c r="F34" s="108">
        <f>SUM(F35,)</f>
        <v>592</v>
      </c>
      <c r="G34" s="108">
        <f>SUM(G35,)</f>
        <v>0</v>
      </c>
      <c r="H34" s="108">
        <f>SUM(E34+F34-G34)</f>
        <v>5131656.6900000004</v>
      </c>
    </row>
    <row r="35" spans="1:8" s="74" customFormat="1" ht="12" customHeight="1" thickTop="1" x14ac:dyDescent="0.25">
      <c r="A35" s="91"/>
      <c r="B35" s="95">
        <v>80101</v>
      </c>
      <c r="C35" s="86"/>
      <c r="D35" s="96" t="s">
        <v>123</v>
      </c>
      <c r="E35" s="111">
        <v>72326</v>
      </c>
      <c r="F35" s="111">
        <f>SUM(F36)</f>
        <v>592</v>
      </c>
      <c r="G35" s="111">
        <f>SUM(G36)</f>
        <v>0</v>
      </c>
      <c r="H35" s="97">
        <f t="shared" ref="H35:H86" si="3">SUM(E35+F35-G35)</f>
        <v>72918</v>
      </c>
    </row>
    <row r="36" spans="1:8" s="74" customFormat="1" ht="12" customHeight="1" x14ac:dyDescent="0.25">
      <c r="A36" s="91"/>
      <c r="B36" s="95"/>
      <c r="C36" s="86"/>
      <c r="D36" s="535" t="s">
        <v>124</v>
      </c>
      <c r="E36" s="112">
        <v>72326</v>
      </c>
      <c r="F36" s="112">
        <f>SUM(F37:F38)</f>
        <v>592</v>
      </c>
      <c r="G36" s="112">
        <f>SUM(G37:G38)</f>
        <v>0</v>
      </c>
      <c r="H36" s="135">
        <f t="shared" si="3"/>
        <v>72918</v>
      </c>
    </row>
    <row r="37" spans="1:8" s="74" customFormat="1" ht="12" customHeight="1" x14ac:dyDescent="0.25">
      <c r="A37" s="91"/>
      <c r="B37" s="92"/>
      <c r="C37" s="86" t="s">
        <v>115</v>
      </c>
      <c r="D37" s="95" t="s">
        <v>116</v>
      </c>
      <c r="E37" s="100">
        <v>0</v>
      </c>
      <c r="F37" s="100">
        <v>392</v>
      </c>
      <c r="G37" s="100"/>
      <c r="H37" s="99">
        <f t="shared" si="3"/>
        <v>392</v>
      </c>
    </row>
    <row r="38" spans="1:8" s="74" customFormat="1" ht="12" customHeight="1" x14ac:dyDescent="0.25">
      <c r="A38" s="91"/>
      <c r="B38" s="92"/>
      <c r="C38" s="86" t="s">
        <v>125</v>
      </c>
      <c r="D38" s="95" t="s">
        <v>436</v>
      </c>
      <c r="E38" s="100">
        <v>2600</v>
      </c>
      <c r="F38" s="100">
        <v>200</v>
      </c>
      <c r="G38" s="100"/>
      <c r="H38" s="99">
        <f t="shared" si="3"/>
        <v>2800</v>
      </c>
    </row>
    <row r="39" spans="1:8" s="74" customFormat="1" ht="12" customHeight="1" thickBot="1" x14ac:dyDescent="0.3">
      <c r="A39" s="92">
        <v>855</v>
      </c>
      <c r="B39" s="91"/>
      <c r="C39" s="93"/>
      <c r="D39" s="94" t="s">
        <v>126</v>
      </c>
      <c r="E39" s="90">
        <v>7174259.8899999997</v>
      </c>
      <c r="F39" s="108">
        <f>SUM(F40,)</f>
        <v>277500</v>
      </c>
      <c r="G39" s="108">
        <f>SUM(G40,)</f>
        <v>0</v>
      </c>
      <c r="H39" s="90">
        <f t="shared" si="3"/>
        <v>7451759.8899999997</v>
      </c>
    </row>
    <row r="40" spans="1:8" s="74" customFormat="1" ht="12" customHeight="1" thickTop="1" x14ac:dyDescent="0.25">
      <c r="A40" s="92"/>
      <c r="B40" s="113">
        <v>85516</v>
      </c>
      <c r="C40" s="117"/>
      <c r="D40" s="118" t="s">
        <v>127</v>
      </c>
      <c r="E40" s="97">
        <v>5481185</v>
      </c>
      <c r="F40" s="111">
        <f>SUM(F41)</f>
        <v>277500</v>
      </c>
      <c r="G40" s="111">
        <f>SUM(G41)</f>
        <v>0</v>
      </c>
      <c r="H40" s="97">
        <f t="shared" si="3"/>
        <v>5758685</v>
      </c>
    </row>
    <row r="41" spans="1:8" s="74" customFormat="1" ht="12" customHeight="1" x14ac:dyDescent="0.25">
      <c r="A41" s="92"/>
      <c r="B41" s="92"/>
      <c r="C41" s="119"/>
      <c r="D41" s="540" t="s">
        <v>119</v>
      </c>
      <c r="E41" s="135">
        <v>1132109</v>
      </c>
      <c r="F41" s="135">
        <f>SUM(F42:F43)</f>
        <v>277500</v>
      </c>
      <c r="G41" s="135">
        <f>SUM(G42:G43)</f>
        <v>0</v>
      </c>
      <c r="H41" s="135">
        <f t="shared" si="3"/>
        <v>1409609</v>
      </c>
    </row>
    <row r="42" spans="1:8" s="74" customFormat="1" ht="24" customHeight="1" x14ac:dyDescent="0.25">
      <c r="A42" s="92"/>
      <c r="B42" s="92"/>
      <c r="C42" s="119" t="s">
        <v>128</v>
      </c>
      <c r="D42" s="120" t="s">
        <v>129</v>
      </c>
      <c r="E42" s="99">
        <v>0</v>
      </c>
      <c r="F42" s="99">
        <v>2500</v>
      </c>
      <c r="G42" s="99"/>
      <c r="H42" s="99">
        <f t="shared" si="3"/>
        <v>2500</v>
      </c>
    </row>
    <row r="43" spans="1:8" s="74" customFormat="1" ht="36.75" customHeight="1" x14ac:dyDescent="0.25">
      <c r="A43" s="92"/>
      <c r="B43" s="95"/>
      <c r="C43" s="119" t="s">
        <v>130</v>
      </c>
      <c r="D43" s="120" t="s">
        <v>131</v>
      </c>
      <c r="E43" s="99">
        <v>0</v>
      </c>
      <c r="F43" s="99">
        <v>275000</v>
      </c>
      <c r="G43" s="99"/>
      <c r="H43" s="99">
        <f t="shared" si="3"/>
        <v>275000</v>
      </c>
    </row>
    <row r="44" spans="1:8" s="74" customFormat="1" ht="12" customHeight="1" thickBot="1" x14ac:dyDescent="0.3">
      <c r="A44" s="92">
        <v>900</v>
      </c>
      <c r="B44" s="92"/>
      <c r="C44" s="93"/>
      <c r="D44" s="114" t="s">
        <v>132</v>
      </c>
      <c r="E44" s="108">
        <v>70124033.840000004</v>
      </c>
      <c r="F44" s="108">
        <f t="shared" ref="F44:G45" si="4">SUM(F45)</f>
        <v>1050</v>
      </c>
      <c r="G44" s="108">
        <f t="shared" si="4"/>
        <v>0</v>
      </c>
      <c r="H44" s="90">
        <f t="shared" si="3"/>
        <v>70125083.840000004</v>
      </c>
    </row>
    <row r="45" spans="1:8" s="74" customFormat="1" ht="12" customHeight="1" thickTop="1" x14ac:dyDescent="0.25">
      <c r="A45" s="92"/>
      <c r="B45" s="95">
        <v>90005</v>
      </c>
      <c r="C45" s="86"/>
      <c r="D45" s="96" t="s">
        <v>133</v>
      </c>
      <c r="E45" s="97">
        <v>14650370.84</v>
      </c>
      <c r="F45" s="111">
        <f t="shared" si="4"/>
        <v>1050</v>
      </c>
      <c r="G45" s="111">
        <f t="shared" si="4"/>
        <v>0</v>
      </c>
      <c r="H45" s="97">
        <f t="shared" si="3"/>
        <v>14651420.84</v>
      </c>
    </row>
    <row r="46" spans="1:8" s="74" customFormat="1" ht="12" customHeight="1" x14ac:dyDescent="0.25">
      <c r="A46" s="92"/>
      <c r="B46" s="85"/>
      <c r="C46" s="86"/>
      <c r="D46" s="541" t="s">
        <v>119</v>
      </c>
      <c r="E46" s="135">
        <v>14650370.84</v>
      </c>
      <c r="F46" s="135">
        <f>SUM(F47:F47)</f>
        <v>1050</v>
      </c>
      <c r="G46" s="135">
        <f>SUM(G47:G47)</f>
        <v>0</v>
      </c>
      <c r="H46" s="135">
        <f t="shared" si="3"/>
        <v>14651420.84</v>
      </c>
    </row>
    <row r="47" spans="1:8" s="74" customFormat="1" ht="34.5" customHeight="1" x14ac:dyDescent="0.25">
      <c r="A47" s="92"/>
      <c r="B47" s="85"/>
      <c r="C47" s="119" t="s">
        <v>134</v>
      </c>
      <c r="D47" s="121" t="s">
        <v>135</v>
      </c>
      <c r="E47" s="99">
        <v>1075</v>
      </c>
      <c r="F47" s="99">
        <v>1050</v>
      </c>
      <c r="G47" s="100"/>
      <c r="H47" s="99">
        <f t="shared" si="3"/>
        <v>2125</v>
      </c>
    </row>
    <row r="48" spans="1:8" s="74" customFormat="1" ht="15.75" customHeight="1" thickBot="1" x14ac:dyDescent="0.3">
      <c r="A48" s="122"/>
      <c r="B48" s="85"/>
      <c r="C48" s="86"/>
      <c r="D48" s="89" t="s">
        <v>136</v>
      </c>
      <c r="E48" s="90">
        <v>97476334.219999999</v>
      </c>
      <c r="F48" s="90">
        <f>SUM(F49,F54,)</f>
        <v>179375.35999999999</v>
      </c>
      <c r="G48" s="90">
        <f>SUM(G49,G54,)</f>
        <v>827818.09</v>
      </c>
      <c r="H48" s="90">
        <f t="shared" si="3"/>
        <v>96827891.489999995</v>
      </c>
    </row>
    <row r="49" spans="1:8" s="74" customFormat="1" ht="15" customHeight="1" thickTop="1" thickBot="1" x14ac:dyDescent="0.3">
      <c r="A49" s="91">
        <v>600</v>
      </c>
      <c r="B49" s="92"/>
      <c r="C49" s="93"/>
      <c r="D49" s="94" t="s">
        <v>66</v>
      </c>
      <c r="E49" s="123">
        <v>75301212.480000004</v>
      </c>
      <c r="F49" s="108">
        <f>SUM(F50)</f>
        <v>121375.36</v>
      </c>
      <c r="G49" s="108">
        <f>SUM(G50)</f>
        <v>827818.09</v>
      </c>
      <c r="H49" s="90">
        <f t="shared" si="3"/>
        <v>74594769.75</v>
      </c>
    </row>
    <row r="50" spans="1:8" s="74" customFormat="1" ht="12" customHeight="1" thickTop="1" x14ac:dyDescent="0.25">
      <c r="A50" s="91"/>
      <c r="B50" s="95">
        <v>60015</v>
      </c>
      <c r="C50" s="93"/>
      <c r="D50" s="124" t="s">
        <v>77</v>
      </c>
      <c r="E50" s="111">
        <v>75300712.480000004</v>
      </c>
      <c r="F50" s="111">
        <f>SUM(F51,)</f>
        <v>121375.36</v>
      </c>
      <c r="G50" s="111">
        <f>SUM(G51,)</f>
        <v>827818.09</v>
      </c>
      <c r="H50" s="97">
        <f t="shared" si="3"/>
        <v>74594269.75</v>
      </c>
    </row>
    <row r="51" spans="1:8" s="74" customFormat="1" ht="25.5" customHeight="1" x14ac:dyDescent="0.25">
      <c r="A51" s="91"/>
      <c r="B51" s="95"/>
      <c r="C51" s="113"/>
      <c r="D51" s="536" t="s">
        <v>137</v>
      </c>
      <c r="E51" s="135">
        <v>12965353.65</v>
      </c>
      <c r="F51" s="135">
        <f>SUM(F52:F53)</f>
        <v>121375.36</v>
      </c>
      <c r="G51" s="135">
        <f>SUM(G52:G53)</f>
        <v>827818.09</v>
      </c>
      <c r="H51" s="135">
        <f t="shared" si="3"/>
        <v>12258910.92</v>
      </c>
    </row>
    <row r="52" spans="1:8" s="74" customFormat="1" ht="49.5" customHeight="1" x14ac:dyDescent="0.25">
      <c r="A52" s="125"/>
      <c r="B52" s="126"/>
      <c r="C52" s="127" t="s">
        <v>138</v>
      </c>
      <c r="D52" s="128" t="s">
        <v>107</v>
      </c>
      <c r="E52" s="111">
        <v>0</v>
      </c>
      <c r="F52" s="97">
        <v>121375.36</v>
      </c>
      <c r="G52" s="111"/>
      <c r="H52" s="97">
        <f t="shared" si="3"/>
        <v>121375.36</v>
      </c>
    </row>
    <row r="53" spans="1:8" s="74" customFormat="1" ht="51" customHeight="1" x14ac:dyDescent="0.25">
      <c r="A53" s="91"/>
      <c r="B53" s="85"/>
      <c r="C53" s="102" t="s">
        <v>139</v>
      </c>
      <c r="D53" s="129" t="s">
        <v>107</v>
      </c>
      <c r="E53" s="99">
        <v>12965353.65</v>
      </c>
      <c r="F53" s="100"/>
      <c r="G53" s="100">
        <v>827818.09</v>
      </c>
      <c r="H53" s="99">
        <f t="shared" si="3"/>
        <v>12137535.560000001</v>
      </c>
    </row>
    <row r="54" spans="1:8" s="74" customFormat="1" ht="12" customHeight="1" thickBot="1" x14ac:dyDescent="0.3">
      <c r="A54" s="91">
        <v>801</v>
      </c>
      <c r="B54" s="91"/>
      <c r="C54" s="93"/>
      <c r="D54" s="94" t="s">
        <v>122</v>
      </c>
      <c r="E54" s="108">
        <v>9628515.4499999993</v>
      </c>
      <c r="F54" s="108">
        <f>SUM(F55,)</f>
        <v>58000</v>
      </c>
      <c r="G54" s="108">
        <f>SUM(G55,)</f>
        <v>0</v>
      </c>
      <c r="H54" s="108">
        <f t="shared" si="3"/>
        <v>9686515.4499999993</v>
      </c>
    </row>
    <row r="55" spans="1:8" s="74" customFormat="1" ht="12" customHeight="1" thickTop="1" x14ac:dyDescent="0.25">
      <c r="A55" s="92"/>
      <c r="B55" s="95">
        <v>80195</v>
      </c>
      <c r="C55" s="86"/>
      <c r="D55" s="96" t="s">
        <v>140</v>
      </c>
      <c r="E55" s="111">
        <v>8519934.4900000002</v>
      </c>
      <c r="F55" s="111">
        <f>SUM(F56,)</f>
        <v>58000</v>
      </c>
      <c r="G55" s="111">
        <f>SUM(G56,)</f>
        <v>0</v>
      </c>
      <c r="H55" s="97">
        <f t="shared" si="3"/>
        <v>8577934.4900000002</v>
      </c>
    </row>
    <row r="56" spans="1:8" s="74" customFormat="1" ht="48" customHeight="1" x14ac:dyDescent="0.25">
      <c r="A56" s="92"/>
      <c r="B56" s="95"/>
      <c r="C56" s="86"/>
      <c r="D56" s="539" t="s">
        <v>141</v>
      </c>
      <c r="E56" s="135">
        <v>757700.3899999999</v>
      </c>
      <c r="F56" s="112">
        <f>SUM(F57:F58)</f>
        <v>58000</v>
      </c>
      <c r="G56" s="112">
        <f>SUM(G57:G58)</f>
        <v>0</v>
      </c>
      <c r="H56" s="135">
        <f t="shared" si="3"/>
        <v>815700.3899999999</v>
      </c>
    </row>
    <row r="57" spans="1:8" s="74" customFormat="1" ht="48" customHeight="1" x14ac:dyDescent="0.25">
      <c r="A57" s="92"/>
      <c r="B57" s="95"/>
      <c r="C57" s="119" t="s">
        <v>142</v>
      </c>
      <c r="D57" s="130" t="s">
        <v>143</v>
      </c>
      <c r="E57" s="99">
        <v>113655.06</v>
      </c>
      <c r="F57" s="99">
        <v>8700</v>
      </c>
      <c r="G57" s="100"/>
      <c r="H57" s="99">
        <f t="shared" si="3"/>
        <v>122355.06</v>
      </c>
    </row>
    <row r="58" spans="1:8" s="74" customFormat="1" ht="48.75" customHeight="1" x14ac:dyDescent="0.25">
      <c r="A58" s="92"/>
      <c r="B58" s="95"/>
      <c r="C58" s="119" t="s">
        <v>144</v>
      </c>
      <c r="D58" s="131" t="s">
        <v>143</v>
      </c>
      <c r="E58" s="99">
        <v>644045.32999999996</v>
      </c>
      <c r="F58" s="99">
        <v>49300</v>
      </c>
      <c r="G58" s="100"/>
      <c r="H58" s="99">
        <f t="shared" si="3"/>
        <v>693345.33</v>
      </c>
    </row>
    <row r="59" spans="1:8" s="74" customFormat="1" ht="21.75" customHeight="1" thickBot="1" x14ac:dyDescent="0.3">
      <c r="A59" s="113"/>
      <c r="B59" s="95"/>
      <c r="C59" s="86"/>
      <c r="D59" s="87" t="s">
        <v>65</v>
      </c>
      <c r="E59" s="88">
        <v>1510293446.5999997</v>
      </c>
      <c r="F59" s="88">
        <f>SUM(F60,F149,)</f>
        <v>15132290.23</v>
      </c>
      <c r="G59" s="88">
        <f>SUM(G60,G149,)</f>
        <v>14887692.74</v>
      </c>
      <c r="H59" s="88">
        <f t="shared" si="3"/>
        <v>1510538044.0899997</v>
      </c>
    </row>
    <row r="60" spans="1:8" s="74" customFormat="1" ht="16.5" customHeight="1" thickBot="1" x14ac:dyDescent="0.3">
      <c r="A60" s="113"/>
      <c r="B60" s="95"/>
      <c r="C60" s="86"/>
      <c r="D60" s="89" t="s">
        <v>74</v>
      </c>
      <c r="E60" s="90">
        <v>1041739131.1599998</v>
      </c>
      <c r="F60" s="90">
        <f>SUM(F61,F77,F86,F95,F100,F108,F113,F117,F122,F142,)</f>
        <v>14804564.02</v>
      </c>
      <c r="G60" s="90">
        <f>SUM(G61,G77,G86,G95,G100,G108,G113,G117,G122,G142,)</f>
        <v>10374486.65</v>
      </c>
      <c r="H60" s="90">
        <f t="shared" si="3"/>
        <v>1046169208.5299999</v>
      </c>
    </row>
    <row r="61" spans="1:8" s="74" customFormat="1" ht="13.5" customHeight="1" thickTop="1" thickBot="1" x14ac:dyDescent="0.3">
      <c r="A61" s="91">
        <v>600</v>
      </c>
      <c r="B61" s="92"/>
      <c r="C61" s="93"/>
      <c r="D61" s="132" t="s">
        <v>66</v>
      </c>
      <c r="E61" s="90">
        <v>186900470.05999997</v>
      </c>
      <c r="F61" s="90">
        <f>SUM(F62,F68,F71,F74)</f>
        <v>8098039.6200000001</v>
      </c>
      <c r="G61" s="90">
        <f>SUM(G62,G68,G71,G74)</f>
        <v>3234493.65</v>
      </c>
      <c r="H61" s="90">
        <f t="shared" si="3"/>
        <v>191764016.02999997</v>
      </c>
    </row>
    <row r="62" spans="1:8" s="74" customFormat="1" ht="12" customHeight="1" thickTop="1" x14ac:dyDescent="0.25">
      <c r="A62" s="91"/>
      <c r="B62" s="95">
        <v>60004</v>
      </c>
      <c r="C62" s="86"/>
      <c r="D62" s="96" t="s">
        <v>85</v>
      </c>
      <c r="E62" s="97">
        <v>128081367.35999998</v>
      </c>
      <c r="F62" s="97">
        <f>SUM(F63,F65)</f>
        <v>5321039.62</v>
      </c>
      <c r="G62" s="97">
        <f>SUM(G63,G65)</f>
        <v>394530.8</v>
      </c>
      <c r="H62" s="97">
        <f t="shared" si="3"/>
        <v>133007876.17999999</v>
      </c>
    </row>
    <row r="63" spans="1:8" s="74" customFormat="1" ht="11.25" customHeight="1" x14ac:dyDescent="0.25">
      <c r="A63" s="91"/>
      <c r="B63" s="92"/>
      <c r="C63" s="86"/>
      <c r="D63" s="534" t="s">
        <v>99</v>
      </c>
      <c r="E63" s="112">
        <v>43110000</v>
      </c>
      <c r="F63" s="112">
        <f>SUM(F64:F64)</f>
        <v>332208.82</v>
      </c>
      <c r="G63" s="112">
        <f>SUM(G64:G64)</f>
        <v>394530.8</v>
      </c>
      <c r="H63" s="135">
        <f t="shared" si="3"/>
        <v>43047678.020000003</v>
      </c>
    </row>
    <row r="64" spans="1:8" s="74" customFormat="1" ht="12" customHeight="1" x14ac:dyDescent="0.25">
      <c r="A64" s="91"/>
      <c r="B64" s="92"/>
      <c r="C64" s="133">
        <v>4300</v>
      </c>
      <c r="D64" s="134" t="s">
        <v>145</v>
      </c>
      <c r="E64" s="100">
        <v>42950000</v>
      </c>
      <c r="F64" s="100">
        <v>332208.82</v>
      </c>
      <c r="G64" s="100">
        <v>394530.8</v>
      </c>
      <c r="H64" s="99">
        <f t="shared" si="3"/>
        <v>42887678.020000003</v>
      </c>
    </row>
    <row r="65" spans="1:8" s="74" customFormat="1" ht="40.5" customHeight="1" x14ac:dyDescent="0.25">
      <c r="A65" s="91"/>
      <c r="B65" s="92"/>
      <c r="C65" s="86"/>
      <c r="D65" s="542" t="s">
        <v>146</v>
      </c>
      <c r="E65" s="112">
        <v>52644000</v>
      </c>
      <c r="F65" s="112">
        <f>SUM(F66:F67)</f>
        <v>4988830.8</v>
      </c>
      <c r="G65" s="112">
        <f>SUM(G66:G67)</f>
        <v>0</v>
      </c>
      <c r="H65" s="135">
        <f t="shared" ref="H65:H67" si="5">SUM(E65+F65-G65)</f>
        <v>57632830.799999997</v>
      </c>
    </row>
    <row r="66" spans="1:8" s="74" customFormat="1" ht="12" customHeight="1" x14ac:dyDescent="0.25">
      <c r="A66" s="91"/>
      <c r="B66" s="92"/>
      <c r="C66" s="113">
        <v>6057</v>
      </c>
      <c r="D66" s="98" t="s">
        <v>67</v>
      </c>
      <c r="E66" s="100">
        <v>41637500</v>
      </c>
      <c r="F66" s="100">
        <v>144300</v>
      </c>
      <c r="G66" s="100"/>
      <c r="H66" s="99">
        <f t="shared" si="5"/>
        <v>41781800</v>
      </c>
    </row>
    <row r="67" spans="1:8" s="74" customFormat="1" ht="12" customHeight="1" x14ac:dyDescent="0.25">
      <c r="A67" s="91"/>
      <c r="B67" s="92"/>
      <c r="C67" s="113">
        <v>6059</v>
      </c>
      <c r="D67" s="98" t="s">
        <v>67</v>
      </c>
      <c r="E67" s="100">
        <v>11006500</v>
      </c>
      <c r="F67" s="100">
        <v>4844530.8</v>
      </c>
      <c r="G67" s="100"/>
      <c r="H67" s="99">
        <f t="shared" si="5"/>
        <v>15851030.800000001</v>
      </c>
    </row>
    <row r="68" spans="1:8" s="74" customFormat="1" ht="12" customHeight="1" x14ac:dyDescent="0.25">
      <c r="A68" s="91"/>
      <c r="B68" s="95">
        <v>60016</v>
      </c>
      <c r="C68" s="86"/>
      <c r="D68" s="96" t="s">
        <v>86</v>
      </c>
      <c r="E68" s="97">
        <v>38382428.480000004</v>
      </c>
      <c r="F68" s="97">
        <f>SUM(F69,)</f>
        <v>2777000</v>
      </c>
      <c r="G68" s="97">
        <f>SUM(G69,)</f>
        <v>2307000</v>
      </c>
      <c r="H68" s="97">
        <f t="shared" si="3"/>
        <v>38852428.480000004</v>
      </c>
    </row>
    <row r="69" spans="1:8" s="74" customFormat="1" ht="12" customHeight="1" x14ac:dyDescent="0.25">
      <c r="A69" s="91"/>
      <c r="B69" s="95"/>
      <c r="C69" s="86"/>
      <c r="D69" s="543" t="s">
        <v>75</v>
      </c>
      <c r="E69" s="135">
        <v>22308428.480000004</v>
      </c>
      <c r="F69" s="112">
        <f>SUM(F70:F70)</f>
        <v>2777000</v>
      </c>
      <c r="G69" s="112">
        <f>SUM(G70:G70)</f>
        <v>2307000</v>
      </c>
      <c r="H69" s="135">
        <f t="shared" si="3"/>
        <v>22778428.480000004</v>
      </c>
    </row>
    <row r="70" spans="1:8" s="74" customFormat="1" ht="12" customHeight="1" x14ac:dyDescent="0.25">
      <c r="A70" s="91"/>
      <c r="B70" s="95"/>
      <c r="C70" s="113">
        <v>6050</v>
      </c>
      <c r="D70" s="98" t="s">
        <v>67</v>
      </c>
      <c r="E70" s="99">
        <v>17458138.480000004</v>
      </c>
      <c r="F70" s="100">
        <f>2577000+200000</f>
        <v>2777000</v>
      </c>
      <c r="G70" s="100">
        <f>950000+1100000+57000+200000</f>
        <v>2307000</v>
      </c>
      <c r="H70" s="99">
        <f t="shared" si="3"/>
        <v>17928138.480000004</v>
      </c>
    </row>
    <row r="71" spans="1:8" s="74" customFormat="1" ht="12" customHeight="1" x14ac:dyDescent="0.25">
      <c r="A71" s="91"/>
      <c r="B71" s="95">
        <v>60017</v>
      </c>
      <c r="C71" s="86"/>
      <c r="D71" s="96" t="s">
        <v>147</v>
      </c>
      <c r="E71" s="97">
        <v>1506240.5</v>
      </c>
      <c r="F71" s="97">
        <f>SUM(F72)</f>
        <v>0</v>
      </c>
      <c r="G71" s="97">
        <f>SUM(G72)</f>
        <v>500000</v>
      </c>
      <c r="H71" s="97">
        <f t="shared" si="3"/>
        <v>1006240.5</v>
      </c>
    </row>
    <row r="72" spans="1:8" s="74" customFormat="1" ht="12" customHeight="1" x14ac:dyDescent="0.25">
      <c r="A72" s="91"/>
      <c r="B72" s="95"/>
      <c r="C72" s="86"/>
      <c r="D72" s="543" t="s">
        <v>75</v>
      </c>
      <c r="E72" s="135">
        <v>1506240.5</v>
      </c>
      <c r="F72" s="135">
        <f>SUM(F73:F73)</f>
        <v>0</v>
      </c>
      <c r="G72" s="135">
        <f>SUM(G73:G73)</f>
        <v>500000</v>
      </c>
      <c r="H72" s="135">
        <f t="shared" si="3"/>
        <v>1006240.5</v>
      </c>
    </row>
    <row r="73" spans="1:8" s="74" customFormat="1" ht="12" customHeight="1" x14ac:dyDescent="0.25">
      <c r="A73" s="91"/>
      <c r="B73" s="92"/>
      <c r="C73" s="113">
        <v>6050</v>
      </c>
      <c r="D73" s="98" t="s">
        <v>67</v>
      </c>
      <c r="E73" s="99">
        <v>1000000</v>
      </c>
      <c r="F73" s="99"/>
      <c r="G73" s="99">
        <v>500000</v>
      </c>
      <c r="H73" s="99">
        <f t="shared" si="3"/>
        <v>500000</v>
      </c>
    </row>
    <row r="74" spans="1:8" s="74" customFormat="1" ht="12" customHeight="1" x14ac:dyDescent="0.25">
      <c r="A74" s="91"/>
      <c r="B74" s="95">
        <v>60019</v>
      </c>
      <c r="C74" s="86"/>
      <c r="D74" s="110" t="s">
        <v>148</v>
      </c>
      <c r="E74" s="97">
        <v>598100</v>
      </c>
      <c r="F74" s="97">
        <f>SUM(F75)</f>
        <v>0</v>
      </c>
      <c r="G74" s="97">
        <f>SUM(G75)</f>
        <v>32962.85</v>
      </c>
      <c r="H74" s="97">
        <f t="shared" ref="H74:H76" si="6">SUM(E74+F74-G74)</f>
        <v>565137.15</v>
      </c>
    </row>
    <row r="75" spans="1:8" s="74" customFormat="1" ht="12" customHeight="1" x14ac:dyDescent="0.25">
      <c r="A75" s="91"/>
      <c r="B75" s="95"/>
      <c r="C75" s="86"/>
      <c r="D75" s="543" t="s">
        <v>75</v>
      </c>
      <c r="E75" s="135">
        <v>598100</v>
      </c>
      <c r="F75" s="135">
        <f>SUM(F76:F76)</f>
        <v>0</v>
      </c>
      <c r="G75" s="135">
        <f>SUM(G76:G76)</f>
        <v>32962.85</v>
      </c>
      <c r="H75" s="135">
        <f t="shared" si="6"/>
        <v>565137.15</v>
      </c>
    </row>
    <row r="76" spans="1:8" s="74" customFormat="1" ht="12" customHeight="1" x14ac:dyDescent="0.25">
      <c r="A76" s="91"/>
      <c r="B76" s="92"/>
      <c r="C76" s="133">
        <v>4300</v>
      </c>
      <c r="D76" s="134" t="s">
        <v>145</v>
      </c>
      <c r="E76" s="99">
        <v>589500</v>
      </c>
      <c r="F76" s="99"/>
      <c r="G76" s="99">
        <v>32962.85</v>
      </c>
      <c r="H76" s="99">
        <f t="shared" si="6"/>
        <v>556537.15</v>
      </c>
    </row>
    <row r="77" spans="1:8" s="74" customFormat="1" ht="12" customHeight="1" thickBot="1" x14ac:dyDescent="0.3">
      <c r="A77" s="91">
        <v>700</v>
      </c>
      <c r="B77" s="91"/>
      <c r="C77" s="93"/>
      <c r="D77" s="94" t="s">
        <v>149</v>
      </c>
      <c r="E77" s="136">
        <v>137937695.08999997</v>
      </c>
      <c r="F77" s="108">
        <f>SUM(F78,F82)</f>
        <v>598422.4</v>
      </c>
      <c r="G77" s="108">
        <f>SUM(G78,G82)</f>
        <v>0</v>
      </c>
      <c r="H77" s="136">
        <f t="shared" si="3"/>
        <v>138536117.48999998</v>
      </c>
    </row>
    <row r="78" spans="1:8" s="74" customFormat="1" ht="12" customHeight="1" thickTop="1" x14ac:dyDescent="0.25">
      <c r="A78" s="91"/>
      <c r="B78" s="113">
        <v>70007</v>
      </c>
      <c r="C78" s="137"/>
      <c r="D78" s="126" t="s">
        <v>150</v>
      </c>
      <c r="E78" s="97">
        <v>57811747.769999996</v>
      </c>
      <c r="F78" s="111">
        <f>SUM(F79)</f>
        <v>194422.40000000002</v>
      </c>
      <c r="G78" s="111">
        <f>SUM(G79)</f>
        <v>0</v>
      </c>
      <c r="H78" s="97">
        <f t="shared" si="3"/>
        <v>58006170.169999994</v>
      </c>
    </row>
    <row r="79" spans="1:8" s="74" customFormat="1" ht="12" customHeight="1" x14ac:dyDescent="0.25">
      <c r="A79" s="91"/>
      <c r="B79" s="91"/>
      <c r="C79" s="140"/>
      <c r="D79" s="540" t="s">
        <v>151</v>
      </c>
      <c r="E79" s="135">
        <v>54895614.069999993</v>
      </c>
      <c r="F79" s="112">
        <f>SUM(F80:F81)</f>
        <v>194422.40000000002</v>
      </c>
      <c r="G79" s="112">
        <f>SUM(G80:G81)</f>
        <v>0</v>
      </c>
      <c r="H79" s="135">
        <f t="shared" si="3"/>
        <v>55090036.469999991</v>
      </c>
    </row>
    <row r="80" spans="1:8" s="74" customFormat="1" ht="12" customHeight="1" x14ac:dyDescent="0.25">
      <c r="A80" s="91"/>
      <c r="B80" s="91"/>
      <c r="C80" s="133">
        <v>4300</v>
      </c>
      <c r="D80" s="134" t="s">
        <v>145</v>
      </c>
      <c r="E80" s="99">
        <v>4133135.36</v>
      </c>
      <c r="F80" s="100">
        <f>9533+20036.58</f>
        <v>29569.58</v>
      </c>
      <c r="G80" s="100"/>
      <c r="H80" s="99">
        <f t="shared" si="3"/>
        <v>4162704.94</v>
      </c>
    </row>
    <row r="81" spans="1:8" s="74" customFormat="1" ht="12" customHeight="1" x14ac:dyDescent="0.25">
      <c r="A81" s="91"/>
      <c r="B81" s="91"/>
      <c r="C81" s="113">
        <v>6050</v>
      </c>
      <c r="D81" s="98" t="s">
        <v>67</v>
      </c>
      <c r="E81" s="99">
        <v>21154879</v>
      </c>
      <c r="F81" s="100">
        <f>114852.82+50000</f>
        <v>164852.82</v>
      </c>
      <c r="G81" s="100"/>
      <c r="H81" s="99">
        <f t="shared" si="3"/>
        <v>21319731.82</v>
      </c>
    </row>
    <row r="82" spans="1:8" s="74" customFormat="1" ht="12" customHeight="1" x14ac:dyDescent="0.25">
      <c r="A82" s="91"/>
      <c r="B82" s="113">
        <v>70095</v>
      </c>
      <c r="C82" s="113"/>
      <c r="D82" s="96" t="s">
        <v>140</v>
      </c>
      <c r="E82" s="97">
        <v>64036072.32</v>
      </c>
      <c r="F82" s="111">
        <f>SUM(F83)</f>
        <v>404000</v>
      </c>
      <c r="G82" s="111">
        <f>SUM(G83)</f>
        <v>0</v>
      </c>
      <c r="H82" s="97">
        <f t="shared" ref="H82" si="7">SUM(E82+F82-G82)</f>
        <v>64440072.32</v>
      </c>
    </row>
    <row r="83" spans="1:8" s="74" customFormat="1" ht="12" customHeight="1" x14ac:dyDescent="0.25">
      <c r="A83" s="91"/>
      <c r="B83" s="113"/>
      <c r="C83" s="113"/>
      <c r="D83" s="535" t="s">
        <v>103</v>
      </c>
      <c r="E83" s="135">
        <v>51359574.619999997</v>
      </c>
      <c r="F83" s="112">
        <f>SUM(F84:F85)</f>
        <v>404000</v>
      </c>
      <c r="G83" s="112">
        <f>SUM(G84:G85)</f>
        <v>0</v>
      </c>
      <c r="H83" s="135">
        <f>SUM(E83+F83-G83)</f>
        <v>51763574.619999997</v>
      </c>
    </row>
    <row r="84" spans="1:8" s="74" customFormat="1" ht="12" customHeight="1" x14ac:dyDescent="0.25">
      <c r="A84" s="91"/>
      <c r="B84" s="113"/>
      <c r="C84" s="95">
        <v>4300</v>
      </c>
      <c r="D84" s="98" t="s">
        <v>145</v>
      </c>
      <c r="E84" s="99">
        <v>4000</v>
      </c>
      <c r="F84" s="100">
        <v>4000</v>
      </c>
      <c r="G84" s="100"/>
      <c r="H84" s="99">
        <f t="shared" ref="H84:H85" si="8">SUM(E84+F84-G84)</f>
        <v>8000</v>
      </c>
    </row>
    <row r="85" spans="1:8" s="74" customFormat="1" ht="12" customHeight="1" x14ac:dyDescent="0.25">
      <c r="A85" s="91"/>
      <c r="B85" s="113"/>
      <c r="C85" s="113">
        <v>6050</v>
      </c>
      <c r="D85" s="98" t="s">
        <v>67</v>
      </c>
      <c r="E85" s="99">
        <v>50314837.609999999</v>
      </c>
      <c r="F85" s="100">
        <v>400000</v>
      </c>
      <c r="G85" s="100"/>
      <c r="H85" s="99">
        <f t="shared" si="8"/>
        <v>50714837.609999999</v>
      </c>
    </row>
    <row r="86" spans="1:8" s="74" customFormat="1" ht="11.25" customHeight="1" thickBot="1" x14ac:dyDescent="0.3">
      <c r="A86" s="138">
        <v>750</v>
      </c>
      <c r="B86" s="92"/>
      <c r="C86" s="93"/>
      <c r="D86" s="132" t="s">
        <v>111</v>
      </c>
      <c r="E86" s="136">
        <v>92209696.670000017</v>
      </c>
      <c r="F86" s="139">
        <f>SUM(F87)</f>
        <v>1111000</v>
      </c>
      <c r="G86" s="139">
        <f>SUM(G87)</f>
        <v>533410</v>
      </c>
      <c r="H86" s="136">
        <f t="shared" si="3"/>
        <v>92787286.670000017</v>
      </c>
    </row>
    <row r="87" spans="1:8" s="74" customFormat="1" ht="11.25" customHeight="1" thickTop="1" x14ac:dyDescent="0.25">
      <c r="A87" s="79"/>
      <c r="B87" s="113">
        <v>75095</v>
      </c>
      <c r="C87" s="113"/>
      <c r="D87" s="96" t="s">
        <v>140</v>
      </c>
      <c r="E87" s="97">
        <v>37721131.219999999</v>
      </c>
      <c r="F87" s="111">
        <f>SUM(F88,F91,F93,)</f>
        <v>1111000</v>
      </c>
      <c r="G87" s="111">
        <f>SUM(G88,G91,G93,)</f>
        <v>533410</v>
      </c>
      <c r="H87" s="97">
        <f t="shared" ref="H87:H104" si="9">SUM(E87+F87-G87)</f>
        <v>38298721.219999999</v>
      </c>
    </row>
    <row r="88" spans="1:8" s="74" customFormat="1" ht="11.25" customHeight="1" x14ac:dyDescent="0.25">
      <c r="A88" s="79"/>
      <c r="B88" s="113"/>
      <c r="C88" s="86"/>
      <c r="D88" s="535" t="s">
        <v>103</v>
      </c>
      <c r="E88" s="135">
        <v>3750835.57</v>
      </c>
      <c r="F88" s="112">
        <f>SUM(F89:F90)</f>
        <v>11000</v>
      </c>
      <c r="G88" s="112">
        <f>SUM(G89:G90)</f>
        <v>33410</v>
      </c>
      <c r="H88" s="135">
        <f t="shared" si="9"/>
        <v>3728425.57</v>
      </c>
    </row>
    <row r="89" spans="1:8" s="74" customFormat="1" ht="11.25" customHeight="1" x14ac:dyDescent="0.25">
      <c r="A89" s="79"/>
      <c r="B89" s="113"/>
      <c r="C89" s="133">
        <v>4430</v>
      </c>
      <c r="D89" s="134" t="s">
        <v>152</v>
      </c>
      <c r="E89" s="99">
        <v>100000</v>
      </c>
      <c r="F89" s="100"/>
      <c r="G89" s="100">
        <v>33410</v>
      </c>
      <c r="H89" s="99">
        <f t="shared" si="9"/>
        <v>66590</v>
      </c>
    </row>
    <row r="90" spans="1:8" s="74" customFormat="1" ht="11.25" customHeight="1" x14ac:dyDescent="0.25">
      <c r="A90" s="79"/>
      <c r="B90" s="113"/>
      <c r="C90" s="113">
        <v>6050</v>
      </c>
      <c r="D90" s="98" t="s">
        <v>67</v>
      </c>
      <c r="E90" s="99">
        <v>3340000</v>
      </c>
      <c r="F90" s="100">
        <v>11000</v>
      </c>
      <c r="G90" s="100"/>
      <c r="H90" s="99">
        <f t="shared" si="9"/>
        <v>3351000</v>
      </c>
    </row>
    <row r="91" spans="1:8" s="74" customFormat="1" ht="11.25" customHeight="1" x14ac:dyDescent="0.25">
      <c r="A91" s="79"/>
      <c r="B91" s="113"/>
      <c r="C91" s="86"/>
      <c r="D91" s="543" t="s">
        <v>75</v>
      </c>
      <c r="E91" s="135">
        <v>1000000</v>
      </c>
      <c r="F91" s="112">
        <f>SUM(F92:F92)</f>
        <v>0</v>
      </c>
      <c r="G91" s="112">
        <f>SUM(G92:G92)</f>
        <v>500000</v>
      </c>
      <c r="H91" s="135">
        <f t="shared" si="9"/>
        <v>500000</v>
      </c>
    </row>
    <row r="92" spans="1:8" s="74" customFormat="1" ht="11.25" customHeight="1" x14ac:dyDescent="0.25">
      <c r="A92" s="79"/>
      <c r="B92" s="113"/>
      <c r="C92" s="113">
        <v>6050</v>
      </c>
      <c r="D92" s="98" t="s">
        <v>67</v>
      </c>
      <c r="E92" s="100">
        <v>1000000</v>
      </c>
      <c r="F92" s="99"/>
      <c r="G92" s="99">
        <v>500000</v>
      </c>
      <c r="H92" s="99">
        <f t="shared" si="9"/>
        <v>500000</v>
      </c>
    </row>
    <row r="93" spans="1:8" s="74" customFormat="1" ht="24" customHeight="1" x14ac:dyDescent="0.25">
      <c r="A93" s="79"/>
      <c r="B93" s="113"/>
      <c r="C93" s="113"/>
      <c r="D93" s="544" t="s">
        <v>153</v>
      </c>
      <c r="E93" s="135">
        <v>13031313.640000001</v>
      </c>
      <c r="F93" s="112">
        <f>SUM(F94:F94)</f>
        <v>1100000</v>
      </c>
      <c r="G93" s="112">
        <f>SUM(G94:G94)</f>
        <v>0</v>
      </c>
      <c r="H93" s="135">
        <f t="shared" si="9"/>
        <v>14131313.640000001</v>
      </c>
    </row>
    <row r="94" spans="1:8" s="74" customFormat="1" ht="11.25" customHeight="1" x14ac:dyDescent="0.25">
      <c r="A94" s="79"/>
      <c r="B94" s="113"/>
      <c r="C94" s="140">
        <v>6059</v>
      </c>
      <c r="D94" s="141" t="s">
        <v>67</v>
      </c>
      <c r="E94" s="100">
        <v>7444043.6099999994</v>
      </c>
      <c r="F94" s="99">
        <v>1100000</v>
      </c>
      <c r="G94" s="99"/>
      <c r="H94" s="99">
        <f t="shared" si="9"/>
        <v>8544043.6099999994</v>
      </c>
    </row>
    <row r="95" spans="1:8" s="74" customFormat="1" ht="11.25" customHeight="1" thickBot="1" x14ac:dyDescent="0.3">
      <c r="A95" s="91">
        <v>754</v>
      </c>
      <c r="B95" s="76"/>
      <c r="C95" s="76"/>
      <c r="D95" s="114" t="s">
        <v>117</v>
      </c>
      <c r="E95" s="90">
        <v>8447599.9500000011</v>
      </c>
      <c r="F95" s="108">
        <f>SUM(F96,)</f>
        <v>2500</v>
      </c>
      <c r="G95" s="108">
        <f>SUM(G96,)</f>
        <v>0</v>
      </c>
      <c r="H95" s="90">
        <f t="shared" si="9"/>
        <v>8450099.9500000011</v>
      </c>
    </row>
    <row r="96" spans="1:8" s="74" customFormat="1" ht="11.25" customHeight="1" thickTop="1" x14ac:dyDescent="0.25">
      <c r="A96" s="91"/>
      <c r="B96" s="113">
        <v>75416</v>
      </c>
      <c r="C96" s="113"/>
      <c r="D96" s="96" t="s">
        <v>118</v>
      </c>
      <c r="E96" s="97">
        <v>7961964.3500000015</v>
      </c>
      <c r="F96" s="111">
        <f>SUM(F97,)</f>
        <v>2500</v>
      </c>
      <c r="G96" s="111">
        <f>SUM(G97,)</f>
        <v>0</v>
      </c>
      <c r="H96" s="97">
        <f t="shared" si="9"/>
        <v>7964464.3500000015</v>
      </c>
    </row>
    <row r="97" spans="1:8" s="74" customFormat="1" ht="11.25" customHeight="1" x14ac:dyDescent="0.25">
      <c r="A97" s="91"/>
      <c r="B97" s="113"/>
      <c r="C97" s="113"/>
      <c r="D97" s="541" t="s">
        <v>154</v>
      </c>
      <c r="E97" s="135">
        <v>6628054.6700000018</v>
      </c>
      <c r="F97" s="112">
        <f>SUM(F98:F99)</f>
        <v>2500</v>
      </c>
      <c r="G97" s="112">
        <f>SUM(G98:G99)</f>
        <v>0</v>
      </c>
      <c r="H97" s="135">
        <f t="shared" si="9"/>
        <v>6630554.6700000018</v>
      </c>
    </row>
    <row r="98" spans="1:8" s="74" customFormat="1" ht="11.25" customHeight="1" x14ac:dyDescent="0.25">
      <c r="A98" s="91"/>
      <c r="B98" s="113"/>
      <c r="C98" s="115" t="s">
        <v>155</v>
      </c>
      <c r="D98" s="134" t="s">
        <v>156</v>
      </c>
      <c r="E98" s="99">
        <v>93081</v>
      </c>
      <c r="F98" s="100">
        <v>1200</v>
      </c>
      <c r="G98" s="100"/>
      <c r="H98" s="99">
        <f t="shared" si="9"/>
        <v>94281</v>
      </c>
    </row>
    <row r="99" spans="1:8" s="74" customFormat="1" ht="11.25" customHeight="1" x14ac:dyDescent="0.25">
      <c r="A99" s="142"/>
      <c r="B99" s="143"/>
      <c r="C99" s="144">
        <v>4300</v>
      </c>
      <c r="D99" s="145" t="s">
        <v>145</v>
      </c>
      <c r="E99" s="97">
        <v>122561</v>
      </c>
      <c r="F99" s="97">
        <v>1300</v>
      </c>
      <c r="G99" s="97"/>
      <c r="H99" s="97">
        <f t="shared" si="9"/>
        <v>123861</v>
      </c>
    </row>
    <row r="100" spans="1:8" s="74" customFormat="1" ht="11.25" customHeight="1" thickBot="1" x14ac:dyDescent="0.3">
      <c r="A100" s="146">
        <v>801</v>
      </c>
      <c r="B100" s="146"/>
      <c r="C100" s="147"/>
      <c r="D100" s="132" t="s">
        <v>122</v>
      </c>
      <c r="E100" s="148">
        <v>240653228.13</v>
      </c>
      <c r="F100" s="139">
        <f>SUM(F101,F105,)</f>
        <v>592</v>
      </c>
      <c r="G100" s="139">
        <f>SUM(G101,G105,)</f>
        <v>411000</v>
      </c>
      <c r="H100" s="136">
        <f t="shared" si="9"/>
        <v>240242820.13</v>
      </c>
    </row>
    <row r="101" spans="1:8" s="74" customFormat="1" ht="11.25" customHeight="1" thickTop="1" x14ac:dyDescent="0.25">
      <c r="A101" s="146"/>
      <c r="B101" s="95">
        <v>80101</v>
      </c>
      <c r="C101" s="86"/>
      <c r="D101" s="96" t="s">
        <v>123</v>
      </c>
      <c r="E101" s="97">
        <v>125608937.23999999</v>
      </c>
      <c r="F101" s="111">
        <f>SUM(F102,)</f>
        <v>592</v>
      </c>
      <c r="G101" s="111">
        <f>SUM(G102,)</f>
        <v>0</v>
      </c>
      <c r="H101" s="97">
        <f t="shared" si="9"/>
        <v>125609529.23999999</v>
      </c>
    </row>
    <row r="102" spans="1:8" s="74" customFormat="1" ht="11.25" customHeight="1" x14ac:dyDescent="0.25">
      <c r="A102" s="146"/>
      <c r="B102" s="92"/>
      <c r="C102" s="86"/>
      <c r="D102" s="535" t="s">
        <v>124</v>
      </c>
      <c r="E102" s="135">
        <v>106346352.88</v>
      </c>
      <c r="F102" s="112">
        <f>SUM(F103:F104)</f>
        <v>592</v>
      </c>
      <c r="G102" s="112">
        <f>SUM(G103:G104)</f>
        <v>0</v>
      </c>
      <c r="H102" s="135">
        <f t="shared" si="9"/>
        <v>106346944.88</v>
      </c>
    </row>
    <row r="103" spans="1:8" s="74" customFormat="1" ht="11.25" customHeight="1" x14ac:dyDescent="0.25">
      <c r="A103" s="146"/>
      <c r="B103" s="92"/>
      <c r="C103" s="133">
        <v>4240</v>
      </c>
      <c r="D103" s="134" t="s">
        <v>157</v>
      </c>
      <c r="E103" s="99">
        <v>253720.5</v>
      </c>
      <c r="F103" s="100">
        <v>200</v>
      </c>
      <c r="G103" s="100"/>
      <c r="H103" s="100">
        <f t="shared" si="9"/>
        <v>253920.5</v>
      </c>
    </row>
    <row r="104" spans="1:8" s="74" customFormat="1" ht="11.25" customHeight="1" x14ac:dyDescent="0.25">
      <c r="A104" s="146"/>
      <c r="B104" s="92"/>
      <c r="C104" s="133">
        <v>4300</v>
      </c>
      <c r="D104" s="134" t="s">
        <v>145</v>
      </c>
      <c r="E104" s="100">
        <v>1106381.2</v>
      </c>
      <c r="F104" s="100">
        <v>392</v>
      </c>
      <c r="G104" s="100"/>
      <c r="H104" s="100">
        <f t="shared" si="9"/>
        <v>1106773.2</v>
      </c>
    </row>
    <row r="105" spans="1:8" s="74" customFormat="1" ht="11.25" customHeight="1" x14ac:dyDescent="0.25">
      <c r="A105" s="79"/>
      <c r="B105" s="95">
        <v>80195</v>
      </c>
      <c r="C105" s="86"/>
      <c r="D105" s="96" t="s">
        <v>140</v>
      </c>
      <c r="E105" s="97">
        <v>10832801.699999999</v>
      </c>
      <c r="F105" s="111">
        <f>SUM(F106,)</f>
        <v>0</v>
      </c>
      <c r="G105" s="111">
        <f>SUM(G106,)</f>
        <v>411000</v>
      </c>
      <c r="H105" s="97">
        <f t="shared" ref="H105:H113" si="10">SUM(E105+F105-G105)</f>
        <v>10421801.699999999</v>
      </c>
    </row>
    <row r="106" spans="1:8" s="74" customFormat="1" ht="12" customHeight="1" x14ac:dyDescent="0.25">
      <c r="A106" s="79"/>
      <c r="B106" s="149"/>
      <c r="C106" s="86"/>
      <c r="D106" s="535" t="s">
        <v>103</v>
      </c>
      <c r="E106" s="135">
        <v>4000000</v>
      </c>
      <c r="F106" s="135">
        <f>SUM(F107:F107)</f>
        <v>0</v>
      </c>
      <c r="G106" s="135">
        <f>SUM(G107:G107)</f>
        <v>411000</v>
      </c>
      <c r="H106" s="135">
        <f t="shared" si="10"/>
        <v>3589000</v>
      </c>
    </row>
    <row r="107" spans="1:8" s="74" customFormat="1" ht="12" customHeight="1" x14ac:dyDescent="0.25">
      <c r="A107" s="79"/>
      <c r="B107" s="149"/>
      <c r="C107" s="113">
        <v>6050</v>
      </c>
      <c r="D107" s="98" t="s">
        <v>67</v>
      </c>
      <c r="E107" s="99">
        <v>4000000</v>
      </c>
      <c r="F107" s="99"/>
      <c r="G107" s="99">
        <f>250000+161000</f>
        <v>411000</v>
      </c>
      <c r="H107" s="99">
        <f t="shared" si="10"/>
        <v>3589000</v>
      </c>
    </row>
    <row r="108" spans="1:8" s="74" customFormat="1" ht="12" customHeight="1" thickBot="1" x14ac:dyDescent="0.3">
      <c r="A108" s="93" t="s">
        <v>158</v>
      </c>
      <c r="B108" s="92"/>
      <c r="C108" s="93"/>
      <c r="D108" s="94" t="s">
        <v>159</v>
      </c>
      <c r="E108" s="90">
        <v>12239997.83</v>
      </c>
      <c r="F108" s="108">
        <f>SUM(F109,)</f>
        <v>4597050</v>
      </c>
      <c r="G108" s="108">
        <f>SUM(G109,)</f>
        <v>4597050</v>
      </c>
      <c r="H108" s="90">
        <f>SUM(E108+F108-G108)</f>
        <v>12239997.829999998</v>
      </c>
    </row>
    <row r="109" spans="1:8" s="74" customFormat="1" ht="12" customHeight="1" thickTop="1" x14ac:dyDescent="0.25">
      <c r="A109" s="85"/>
      <c r="B109" s="86" t="s">
        <v>160</v>
      </c>
      <c r="C109" s="113"/>
      <c r="D109" s="96" t="s">
        <v>140</v>
      </c>
      <c r="E109" s="97">
        <v>5079740</v>
      </c>
      <c r="F109" s="111">
        <f>SUM(F110)</f>
        <v>4597050</v>
      </c>
      <c r="G109" s="111">
        <f t="shared" ref="G109" si="11">SUM(G110)</f>
        <v>4597050</v>
      </c>
      <c r="H109" s="97">
        <f t="shared" ref="H109" si="12">SUM(E109+F109-G109)</f>
        <v>5079740</v>
      </c>
    </row>
    <row r="110" spans="1:8" s="74" customFormat="1" ht="45" customHeight="1" x14ac:dyDescent="0.25">
      <c r="A110" s="85"/>
      <c r="B110" s="95"/>
      <c r="C110" s="86"/>
      <c r="D110" s="545" t="s">
        <v>161</v>
      </c>
      <c r="E110" s="135">
        <v>4597050</v>
      </c>
      <c r="F110" s="112">
        <f>SUM(F111:F112)</f>
        <v>4597050</v>
      </c>
      <c r="G110" s="112">
        <f>SUM(G111:G112)</f>
        <v>4597050</v>
      </c>
      <c r="H110" s="135">
        <f>SUM(E110+F110-G110)</f>
        <v>4597050</v>
      </c>
    </row>
    <row r="111" spans="1:8" s="74" customFormat="1" ht="36" customHeight="1" x14ac:dyDescent="0.25">
      <c r="A111" s="85"/>
      <c r="B111" s="95"/>
      <c r="C111" s="119" t="s">
        <v>162</v>
      </c>
      <c r="D111" s="150" t="s">
        <v>163</v>
      </c>
      <c r="E111" s="99">
        <v>689557.5</v>
      </c>
      <c r="F111" s="100">
        <v>689557.5</v>
      </c>
      <c r="G111" s="100">
        <v>689557.5</v>
      </c>
      <c r="H111" s="99">
        <f t="shared" ref="H111:H112" si="13">SUM(E111+F111-G111)</f>
        <v>689557.5</v>
      </c>
    </row>
    <row r="112" spans="1:8" s="74" customFormat="1" ht="36" customHeight="1" x14ac:dyDescent="0.25">
      <c r="A112" s="85"/>
      <c r="B112" s="95"/>
      <c r="C112" s="119" t="s">
        <v>164</v>
      </c>
      <c r="D112" s="150" t="s">
        <v>163</v>
      </c>
      <c r="E112" s="99">
        <v>3907492.5</v>
      </c>
      <c r="F112" s="100">
        <v>3907492.5</v>
      </c>
      <c r="G112" s="100">
        <v>3907492.5</v>
      </c>
      <c r="H112" s="99">
        <f t="shared" si="13"/>
        <v>3907492.5</v>
      </c>
    </row>
    <row r="113" spans="1:8" s="74" customFormat="1" ht="11.25" customHeight="1" thickBot="1" x14ac:dyDescent="0.3">
      <c r="A113" s="91">
        <v>852</v>
      </c>
      <c r="B113" s="92"/>
      <c r="C113" s="93"/>
      <c r="D113" s="94" t="s">
        <v>165</v>
      </c>
      <c r="E113" s="108">
        <v>89378291.560000002</v>
      </c>
      <c r="F113" s="108">
        <f>SUM(F114)</f>
        <v>70000</v>
      </c>
      <c r="G113" s="108">
        <f>SUM(G114)</f>
        <v>70000</v>
      </c>
      <c r="H113" s="108">
        <f t="shared" si="10"/>
        <v>89378291.560000002</v>
      </c>
    </row>
    <row r="114" spans="1:8" s="74" customFormat="1" ht="11.25" customHeight="1" thickTop="1" x14ac:dyDescent="0.25">
      <c r="A114" s="92"/>
      <c r="B114" s="95">
        <v>85202</v>
      </c>
      <c r="C114" s="86"/>
      <c r="D114" s="124" t="s">
        <v>166</v>
      </c>
      <c r="E114" s="97">
        <v>26507058.59</v>
      </c>
      <c r="F114" s="111">
        <f>SUM(F115)</f>
        <v>70000</v>
      </c>
      <c r="G114" s="111">
        <f>SUM(G115)</f>
        <v>70000</v>
      </c>
      <c r="H114" s="97">
        <f t="shared" ref="H114:H127" si="14">SUM(E114+F114-G114)</f>
        <v>26507058.59</v>
      </c>
    </row>
    <row r="115" spans="1:8" s="74" customFormat="1" ht="11.25" customHeight="1" x14ac:dyDescent="0.25">
      <c r="A115" s="92"/>
      <c r="B115" s="113"/>
      <c r="C115" s="86"/>
      <c r="D115" s="535" t="s">
        <v>167</v>
      </c>
      <c r="E115" s="135">
        <v>6363302.9900000002</v>
      </c>
      <c r="F115" s="135">
        <f>SUM(F116:F116)</f>
        <v>70000</v>
      </c>
      <c r="G115" s="135">
        <f>SUM(G116:G116)</f>
        <v>70000</v>
      </c>
      <c r="H115" s="135">
        <f t="shared" si="14"/>
        <v>6363302.9900000002</v>
      </c>
    </row>
    <row r="116" spans="1:8" s="74" customFormat="1" ht="11.25" customHeight="1" x14ac:dyDescent="0.25">
      <c r="A116" s="92"/>
      <c r="B116" s="113"/>
      <c r="C116" s="113">
        <v>6060</v>
      </c>
      <c r="D116" s="98" t="s">
        <v>168</v>
      </c>
      <c r="E116" s="99">
        <v>70000</v>
      </c>
      <c r="F116" s="99">
        <v>70000</v>
      </c>
      <c r="G116" s="99">
        <v>70000</v>
      </c>
      <c r="H116" s="99">
        <f t="shared" si="14"/>
        <v>70000</v>
      </c>
    </row>
    <row r="117" spans="1:8" s="74" customFormat="1" ht="11.25" customHeight="1" thickBot="1" x14ac:dyDescent="0.3">
      <c r="A117" s="92">
        <v>855</v>
      </c>
      <c r="B117" s="91"/>
      <c r="C117" s="93"/>
      <c r="D117" s="94" t="s">
        <v>126</v>
      </c>
      <c r="E117" s="90">
        <v>16059648.65</v>
      </c>
      <c r="F117" s="108">
        <f>SUM(F118)</f>
        <v>277500</v>
      </c>
      <c r="G117" s="108">
        <f>SUM(G118)</f>
        <v>0</v>
      </c>
      <c r="H117" s="90">
        <f t="shared" si="14"/>
        <v>16337148.65</v>
      </c>
    </row>
    <row r="118" spans="1:8" s="74" customFormat="1" ht="11.25" customHeight="1" thickTop="1" x14ac:dyDescent="0.25">
      <c r="A118" s="93"/>
      <c r="B118" s="113">
        <v>85516</v>
      </c>
      <c r="C118" s="117"/>
      <c r="D118" s="118" t="s">
        <v>127</v>
      </c>
      <c r="E118" s="97">
        <v>11975117</v>
      </c>
      <c r="F118" s="111">
        <f>SUM(F119,)</f>
        <v>277500</v>
      </c>
      <c r="G118" s="111">
        <f>SUM(G119,)</f>
        <v>0</v>
      </c>
      <c r="H118" s="97">
        <f t="shared" si="14"/>
        <v>12252617</v>
      </c>
    </row>
    <row r="119" spans="1:8" s="74" customFormat="1" ht="12" customHeight="1" x14ac:dyDescent="0.25">
      <c r="A119" s="93"/>
      <c r="B119" s="113"/>
      <c r="C119" s="117"/>
      <c r="D119" s="540" t="s">
        <v>169</v>
      </c>
      <c r="E119" s="135">
        <v>9965515</v>
      </c>
      <c r="F119" s="112">
        <f>SUM(F120:F121)</f>
        <v>277500</v>
      </c>
      <c r="G119" s="112">
        <f>SUM(G120:G121)</f>
        <v>0</v>
      </c>
      <c r="H119" s="135">
        <f>SUM(E119+F119-G119)</f>
        <v>10243015</v>
      </c>
    </row>
    <row r="120" spans="1:8" s="74" customFormat="1" ht="12" customHeight="1" x14ac:dyDescent="0.25">
      <c r="A120" s="93"/>
      <c r="B120" s="113"/>
      <c r="C120" s="133">
        <v>4300</v>
      </c>
      <c r="D120" s="134" t="s">
        <v>145</v>
      </c>
      <c r="E120" s="99">
        <v>120369</v>
      </c>
      <c r="F120" s="100">
        <v>2500</v>
      </c>
      <c r="G120" s="100"/>
      <c r="H120" s="100">
        <f t="shared" ref="H120:H121" si="15">SUM(E120+F120-G120)</f>
        <v>122869</v>
      </c>
    </row>
    <row r="121" spans="1:8" s="74" customFormat="1" ht="12" customHeight="1" x14ac:dyDescent="0.25">
      <c r="A121" s="93"/>
      <c r="B121" s="113"/>
      <c r="C121" s="113">
        <v>6050</v>
      </c>
      <c r="D121" s="98" t="s">
        <v>67</v>
      </c>
      <c r="E121" s="99">
        <v>0</v>
      </c>
      <c r="F121" s="100">
        <v>275000</v>
      </c>
      <c r="G121" s="100"/>
      <c r="H121" s="100">
        <f t="shared" si="15"/>
        <v>275000</v>
      </c>
    </row>
    <row r="122" spans="1:8" s="74" customFormat="1" ht="11.25" customHeight="1" thickBot="1" x14ac:dyDescent="0.3">
      <c r="A122" s="91">
        <v>900</v>
      </c>
      <c r="B122" s="92"/>
      <c r="C122" s="93"/>
      <c r="D122" s="94" t="s">
        <v>132</v>
      </c>
      <c r="E122" s="90">
        <v>98442329.150000006</v>
      </c>
      <c r="F122" s="108">
        <f>SUM(F123,F126,F131,F139)</f>
        <v>35460</v>
      </c>
      <c r="G122" s="108">
        <f>SUM(G123,G126,G131,G139)</f>
        <v>1528533</v>
      </c>
      <c r="H122" s="90">
        <f t="shared" si="14"/>
        <v>96949256.150000006</v>
      </c>
    </row>
    <row r="123" spans="1:8" s="74" customFormat="1" ht="11.25" customHeight="1" thickTop="1" x14ac:dyDescent="0.25">
      <c r="A123" s="91"/>
      <c r="B123" s="113">
        <v>90001</v>
      </c>
      <c r="C123" s="117"/>
      <c r="D123" s="152" t="s">
        <v>170</v>
      </c>
      <c r="E123" s="97">
        <v>30000</v>
      </c>
      <c r="F123" s="111">
        <f>SUM(F124)</f>
        <v>5000</v>
      </c>
      <c r="G123" s="111">
        <f>SUM(G124)</f>
        <v>0</v>
      </c>
      <c r="H123" s="97">
        <f t="shared" ref="H123" si="16">SUM(E123+F123-G123)</f>
        <v>35000</v>
      </c>
    </row>
    <row r="124" spans="1:8" s="74" customFormat="1" ht="11.25" customHeight="1" x14ac:dyDescent="0.25">
      <c r="A124" s="91"/>
      <c r="B124" s="85"/>
      <c r="C124" s="153"/>
      <c r="D124" s="537" t="s">
        <v>110</v>
      </c>
      <c r="E124" s="135">
        <v>30000</v>
      </c>
      <c r="F124" s="112">
        <f>SUM(F125:F125)</f>
        <v>5000</v>
      </c>
      <c r="G124" s="112">
        <f>SUM(G125:G125)</f>
        <v>0</v>
      </c>
      <c r="H124" s="135">
        <f>SUM(E124+F124-G124)</f>
        <v>35000</v>
      </c>
    </row>
    <row r="125" spans="1:8" s="74" customFormat="1" ht="36" customHeight="1" x14ac:dyDescent="0.25">
      <c r="A125" s="91"/>
      <c r="B125" s="85"/>
      <c r="C125" s="154">
        <v>6230</v>
      </c>
      <c r="D125" s="121" t="s">
        <v>171</v>
      </c>
      <c r="E125" s="155">
        <v>0</v>
      </c>
      <c r="F125" s="100">
        <v>5000</v>
      </c>
      <c r="G125" s="100"/>
      <c r="H125" s="100">
        <f t="shared" ref="H125" si="17">SUM(E125+F125-G125)</f>
        <v>5000</v>
      </c>
    </row>
    <row r="126" spans="1:8" s="74" customFormat="1" ht="11.25" customHeight="1" x14ac:dyDescent="0.25">
      <c r="A126" s="91"/>
      <c r="B126" s="113">
        <v>90002</v>
      </c>
      <c r="C126" s="117"/>
      <c r="D126" s="156" t="s">
        <v>172</v>
      </c>
      <c r="E126" s="97">
        <v>44440402</v>
      </c>
      <c r="F126" s="111">
        <f>SUM(F127)</f>
        <v>0</v>
      </c>
      <c r="G126" s="111">
        <f>SUM(G127)</f>
        <v>28533</v>
      </c>
      <c r="H126" s="97">
        <f t="shared" si="14"/>
        <v>44411869</v>
      </c>
    </row>
    <row r="127" spans="1:8" s="74" customFormat="1" ht="11.25" customHeight="1" x14ac:dyDescent="0.25">
      <c r="A127" s="91"/>
      <c r="B127" s="85"/>
      <c r="C127" s="113"/>
      <c r="D127" s="537" t="s">
        <v>110</v>
      </c>
      <c r="E127" s="546">
        <v>43233300</v>
      </c>
      <c r="F127" s="112">
        <f>SUM(F128:F130)</f>
        <v>0</v>
      </c>
      <c r="G127" s="112">
        <f>SUM(G128:G130)</f>
        <v>28533</v>
      </c>
      <c r="H127" s="135">
        <f t="shared" si="14"/>
        <v>43204767</v>
      </c>
    </row>
    <row r="128" spans="1:8" s="74" customFormat="1" ht="11.25" customHeight="1" x14ac:dyDescent="0.25">
      <c r="A128" s="91"/>
      <c r="B128" s="85"/>
      <c r="C128" s="133">
        <v>4390</v>
      </c>
      <c r="D128" s="121" t="s">
        <v>173</v>
      </c>
      <c r="E128" s="157">
        <v>30000</v>
      </c>
      <c r="F128" s="100"/>
      <c r="G128" s="100">
        <v>4000</v>
      </c>
      <c r="H128" s="100">
        <f t="shared" ref="H128:H170" si="18">SUM(E128+F128-G128)</f>
        <v>26000</v>
      </c>
    </row>
    <row r="129" spans="1:8" s="74" customFormat="1" ht="22.5" customHeight="1" x14ac:dyDescent="0.25">
      <c r="A129" s="91"/>
      <c r="B129" s="85"/>
      <c r="C129" s="154">
        <v>4600</v>
      </c>
      <c r="D129" s="121" t="s">
        <v>174</v>
      </c>
      <c r="E129" s="157">
        <v>900000</v>
      </c>
      <c r="F129" s="100"/>
      <c r="G129" s="100">
        <f>9533+10000</f>
        <v>19533</v>
      </c>
      <c r="H129" s="100">
        <f t="shared" si="18"/>
        <v>880467</v>
      </c>
    </row>
    <row r="130" spans="1:8" s="74" customFormat="1" ht="11.25" customHeight="1" x14ac:dyDescent="0.25">
      <c r="A130" s="91"/>
      <c r="B130" s="92"/>
      <c r="C130" s="113">
        <v>6050</v>
      </c>
      <c r="D130" s="98" t="s">
        <v>67</v>
      </c>
      <c r="E130" s="99">
        <v>1300000</v>
      </c>
      <c r="F130" s="100"/>
      <c r="G130" s="100">
        <v>5000</v>
      </c>
      <c r="H130" s="100">
        <f t="shared" si="18"/>
        <v>1295000</v>
      </c>
    </row>
    <row r="131" spans="1:8" s="74" customFormat="1" ht="11.25" customHeight="1" x14ac:dyDescent="0.25">
      <c r="A131" s="91"/>
      <c r="B131" s="95">
        <v>90005</v>
      </c>
      <c r="C131" s="93"/>
      <c r="D131" s="110" t="s">
        <v>133</v>
      </c>
      <c r="E131" s="97">
        <v>16755171.4</v>
      </c>
      <c r="F131" s="97">
        <f>SUM(F132,F137)</f>
        <v>30460</v>
      </c>
      <c r="G131" s="97">
        <f>SUM(G132,G137)</f>
        <v>0</v>
      </c>
      <c r="H131" s="97">
        <f t="shared" si="18"/>
        <v>16785631.399999999</v>
      </c>
    </row>
    <row r="132" spans="1:8" s="74" customFormat="1" ht="11.25" customHeight="1" x14ac:dyDescent="0.25">
      <c r="A132" s="91"/>
      <c r="B132" s="95"/>
      <c r="C132" s="86"/>
      <c r="D132" s="535" t="s">
        <v>103</v>
      </c>
      <c r="E132" s="135">
        <v>16148539.84</v>
      </c>
      <c r="F132" s="112">
        <f>SUM(F133:F136)</f>
        <v>29410</v>
      </c>
      <c r="G132" s="112">
        <f>SUM(G133:G136)</f>
        <v>0</v>
      </c>
      <c r="H132" s="135">
        <f>SUM(E132+F132-G132)</f>
        <v>16177949.84</v>
      </c>
    </row>
    <row r="133" spans="1:8" s="74" customFormat="1" ht="11.25" customHeight="1" x14ac:dyDescent="0.25">
      <c r="A133" s="91"/>
      <c r="B133" s="95"/>
      <c r="C133" s="113">
        <v>4010</v>
      </c>
      <c r="D133" s="98" t="s">
        <v>175</v>
      </c>
      <c r="E133" s="99">
        <v>12000</v>
      </c>
      <c r="F133" s="99">
        <v>24000</v>
      </c>
      <c r="G133" s="99"/>
      <c r="H133" s="99">
        <f t="shared" ref="H133:H136" si="19">SUM(E133+F133-G133)</f>
        <v>36000</v>
      </c>
    </row>
    <row r="134" spans="1:8" s="74" customFormat="1" ht="11.25" customHeight="1" x14ac:dyDescent="0.25">
      <c r="A134" s="91"/>
      <c r="B134" s="95"/>
      <c r="C134" s="113">
        <v>4110</v>
      </c>
      <c r="D134" s="98" t="s">
        <v>176</v>
      </c>
      <c r="E134" s="99">
        <v>2200</v>
      </c>
      <c r="F134" s="99">
        <v>4400</v>
      </c>
      <c r="G134" s="99"/>
      <c r="H134" s="99">
        <f t="shared" si="19"/>
        <v>6600</v>
      </c>
    </row>
    <row r="135" spans="1:8" s="74" customFormat="1" ht="11.25" customHeight="1" x14ac:dyDescent="0.25">
      <c r="A135" s="91"/>
      <c r="B135" s="95"/>
      <c r="C135" s="113">
        <v>4120</v>
      </c>
      <c r="D135" s="98" t="s">
        <v>177</v>
      </c>
      <c r="E135" s="99">
        <v>320</v>
      </c>
      <c r="F135" s="99">
        <v>640</v>
      </c>
      <c r="G135" s="99"/>
      <c r="H135" s="99">
        <f t="shared" si="19"/>
        <v>960</v>
      </c>
    </row>
    <row r="136" spans="1:8" s="74" customFormat="1" ht="11.25" customHeight="1" x14ac:dyDescent="0.25">
      <c r="A136" s="91"/>
      <c r="B136" s="95"/>
      <c r="C136" s="133">
        <v>4710</v>
      </c>
      <c r="D136" s="134" t="s">
        <v>178</v>
      </c>
      <c r="E136" s="99">
        <v>145</v>
      </c>
      <c r="F136" s="99">
        <v>370</v>
      </c>
      <c r="G136" s="99"/>
      <c r="H136" s="99">
        <f t="shared" si="19"/>
        <v>515</v>
      </c>
    </row>
    <row r="137" spans="1:8" s="74" customFormat="1" ht="11.25" customHeight="1" x14ac:dyDescent="0.25">
      <c r="A137" s="91"/>
      <c r="B137" s="95"/>
      <c r="C137" s="86"/>
      <c r="D137" s="547" t="s">
        <v>179</v>
      </c>
      <c r="E137" s="135">
        <v>1075</v>
      </c>
      <c r="F137" s="112">
        <f>SUM(F138:F138)</f>
        <v>1050</v>
      </c>
      <c r="G137" s="112">
        <f>SUM(G138:G138)</f>
        <v>0</v>
      </c>
      <c r="H137" s="135">
        <f>SUM(E137+F137-G137)</f>
        <v>2125</v>
      </c>
    </row>
    <row r="138" spans="1:8" s="74" customFormat="1" ht="11.25" customHeight="1" x14ac:dyDescent="0.25">
      <c r="A138" s="91"/>
      <c r="B138" s="95"/>
      <c r="C138" s="113">
        <v>4010</v>
      </c>
      <c r="D138" s="98" t="s">
        <v>175</v>
      </c>
      <c r="E138" s="99">
        <v>1075</v>
      </c>
      <c r="F138" s="100">
        <v>1050</v>
      </c>
      <c r="G138" s="100"/>
      <c r="H138" s="99">
        <f t="shared" ref="H138" si="20">SUM(E138+F138-G138)</f>
        <v>2125</v>
      </c>
    </row>
    <row r="139" spans="1:8" s="74" customFormat="1" ht="11.25" customHeight="1" x14ac:dyDescent="0.25">
      <c r="A139" s="91"/>
      <c r="B139" s="140">
        <v>90015</v>
      </c>
      <c r="C139" s="140"/>
      <c r="D139" s="110" t="s">
        <v>180</v>
      </c>
      <c r="E139" s="97">
        <v>9526218</v>
      </c>
      <c r="F139" s="97">
        <f>SUM(F140)</f>
        <v>0</v>
      </c>
      <c r="G139" s="97">
        <f>SUM(G140)</f>
        <v>1500000</v>
      </c>
      <c r="H139" s="97">
        <f t="shared" si="18"/>
        <v>8026218</v>
      </c>
    </row>
    <row r="140" spans="1:8" s="74" customFormat="1" ht="12" customHeight="1" x14ac:dyDescent="0.25">
      <c r="A140" s="91"/>
      <c r="B140" s="95"/>
      <c r="C140" s="86"/>
      <c r="D140" s="534" t="s">
        <v>99</v>
      </c>
      <c r="E140" s="112">
        <v>9526218</v>
      </c>
      <c r="F140" s="112">
        <f>SUM(F141:F141)</f>
        <v>0</v>
      </c>
      <c r="G140" s="112">
        <f>SUM(G141:G141)</f>
        <v>1500000</v>
      </c>
      <c r="H140" s="135">
        <f t="shared" si="18"/>
        <v>8026218</v>
      </c>
    </row>
    <row r="141" spans="1:8" s="74" customFormat="1" ht="11.25" customHeight="1" x14ac:dyDescent="0.25">
      <c r="A141" s="91"/>
      <c r="B141" s="95"/>
      <c r="C141" s="133">
        <v>4260</v>
      </c>
      <c r="D141" s="134" t="s">
        <v>181</v>
      </c>
      <c r="E141" s="100">
        <v>6691818</v>
      </c>
      <c r="F141" s="100"/>
      <c r="G141" s="100">
        <v>1500000</v>
      </c>
      <c r="H141" s="99">
        <f t="shared" si="18"/>
        <v>5191818</v>
      </c>
    </row>
    <row r="142" spans="1:8" s="74" customFormat="1" ht="11.25" customHeight="1" thickBot="1" x14ac:dyDescent="0.3">
      <c r="A142" s="104">
        <v>926</v>
      </c>
      <c r="B142" s="104"/>
      <c r="C142" s="140"/>
      <c r="D142" s="107" t="s">
        <v>182</v>
      </c>
      <c r="E142" s="90">
        <v>38698453.5</v>
      </c>
      <c r="F142" s="108">
        <f>SUM(F143,F146,)</f>
        <v>14000</v>
      </c>
      <c r="G142" s="108">
        <f>SUM(G143,G146,)</f>
        <v>0</v>
      </c>
      <c r="H142" s="90">
        <f t="shared" si="18"/>
        <v>38712453.5</v>
      </c>
    </row>
    <row r="143" spans="1:8" s="74" customFormat="1" ht="11.25" customHeight="1" thickTop="1" x14ac:dyDescent="0.25">
      <c r="A143" s="104"/>
      <c r="B143" s="113">
        <v>92604</v>
      </c>
      <c r="C143" s="137"/>
      <c r="D143" s="96" t="s">
        <v>183</v>
      </c>
      <c r="E143" s="97">
        <v>20722888.200000003</v>
      </c>
      <c r="F143" s="97">
        <f>SUM(F144)</f>
        <v>10000</v>
      </c>
      <c r="G143" s="97">
        <f>SUM(G144)</f>
        <v>0</v>
      </c>
      <c r="H143" s="97">
        <f t="shared" si="18"/>
        <v>20732888.200000003</v>
      </c>
    </row>
    <row r="144" spans="1:8" s="74" customFormat="1" ht="11.25" customHeight="1" x14ac:dyDescent="0.25">
      <c r="A144" s="104"/>
      <c r="B144" s="91"/>
      <c r="C144" s="93"/>
      <c r="D144" s="540" t="s">
        <v>184</v>
      </c>
      <c r="E144" s="135">
        <v>20722888.200000003</v>
      </c>
      <c r="F144" s="135">
        <f>SUM(F145:F145)</f>
        <v>10000</v>
      </c>
      <c r="G144" s="135">
        <f>SUM(G145:G145)</f>
        <v>0</v>
      </c>
      <c r="H144" s="135">
        <f t="shared" si="18"/>
        <v>20732888.200000003</v>
      </c>
    </row>
    <row r="145" spans="1:8" s="74" customFormat="1" ht="11.25" customHeight="1" x14ac:dyDescent="0.25">
      <c r="A145" s="104"/>
      <c r="B145" s="95"/>
      <c r="C145" s="113">
        <v>4300</v>
      </c>
      <c r="D145" s="98" t="s">
        <v>145</v>
      </c>
      <c r="E145" s="158">
        <v>2510577</v>
      </c>
      <c r="F145" s="99">
        <v>10000</v>
      </c>
      <c r="G145" s="99"/>
      <c r="H145" s="99">
        <f t="shared" si="18"/>
        <v>2520577</v>
      </c>
    </row>
    <row r="146" spans="1:8" s="74" customFormat="1" ht="11.25" customHeight="1" x14ac:dyDescent="0.25">
      <c r="A146" s="104"/>
      <c r="B146" s="113">
        <v>92695</v>
      </c>
      <c r="C146" s="137"/>
      <c r="D146" s="159" t="s">
        <v>140</v>
      </c>
      <c r="E146" s="97">
        <v>927281.3</v>
      </c>
      <c r="F146" s="97">
        <f>SUM(F147,)</f>
        <v>4000</v>
      </c>
      <c r="G146" s="97">
        <f>SUM(G147,)</f>
        <v>0</v>
      </c>
      <c r="H146" s="97">
        <f t="shared" si="18"/>
        <v>931281.3</v>
      </c>
    </row>
    <row r="147" spans="1:8" s="74" customFormat="1" ht="11.25" customHeight="1" x14ac:dyDescent="0.25">
      <c r="A147" s="104"/>
      <c r="B147" s="140"/>
      <c r="C147" s="86"/>
      <c r="D147" s="535" t="s">
        <v>185</v>
      </c>
      <c r="E147" s="135">
        <v>682900</v>
      </c>
      <c r="F147" s="112">
        <f>SUM(F148:F148)</f>
        <v>4000</v>
      </c>
      <c r="G147" s="112">
        <f>SUM(G148:G148)</f>
        <v>0</v>
      </c>
      <c r="H147" s="135">
        <f t="shared" si="18"/>
        <v>686900</v>
      </c>
    </row>
    <row r="148" spans="1:8" s="74" customFormat="1" ht="11.25" customHeight="1" x14ac:dyDescent="0.25">
      <c r="A148" s="104"/>
      <c r="B148" s="140"/>
      <c r="C148" s="133">
        <v>3040</v>
      </c>
      <c r="D148" s="121" t="s">
        <v>186</v>
      </c>
      <c r="E148" s="99">
        <v>155200</v>
      </c>
      <c r="F148" s="160">
        <v>4000</v>
      </c>
      <c r="G148" s="160"/>
      <c r="H148" s="99">
        <f t="shared" si="18"/>
        <v>159200</v>
      </c>
    </row>
    <row r="149" spans="1:8" s="74" customFormat="1" ht="16.5" customHeight="1" thickBot="1" x14ac:dyDescent="0.3">
      <c r="A149" s="113"/>
      <c r="B149" s="95"/>
      <c r="C149" s="86"/>
      <c r="D149" s="89" t="s">
        <v>76</v>
      </c>
      <c r="E149" s="90">
        <v>387913014.31000006</v>
      </c>
      <c r="F149" s="90">
        <f>SUM(F150,F170,F183,F187,)</f>
        <v>327726.21000000002</v>
      </c>
      <c r="G149" s="90">
        <f>SUM(G150,G170,G183,G187,)</f>
        <v>4513206.09</v>
      </c>
      <c r="H149" s="90">
        <f t="shared" si="18"/>
        <v>383727534.43000007</v>
      </c>
    </row>
    <row r="150" spans="1:8" s="74" customFormat="1" ht="14.25" customHeight="1" thickTop="1" thickBot="1" x14ac:dyDescent="0.3">
      <c r="A150" s="91">
        <v>600</v>
      </c>
      <c r="B150" s="92"/>
      <c r="C150" s="93"/>
      <c r="D150" s="94" t="s">
        <v>66</v>
      </c>
      <c r="E150" s="90">
        <v>95201451.899999991</v>
      </c>
      <c r="F150" s="90">
        <f>SUM(F151,)</f>
        <v>154338.21000000002</v>
      </c>
      <c r="G150" s="90">
        <f>SUM(G151)</f>
        <v>4397818.09</v>
      </c>
      <c r="H150" s="90">
        <f t="shared" si="18"/>
        <v>90957972.019999981</v>
      </c>
    </row>
    <row r="151" spans="1:8" s="74" customFormat="1" ht="11.25" customHeight="1" thickTop="1" x14ac:dyDescent="0.25">
      <c r="A151" s="91"/>
      <c r="B151" s="95">
        <v>60015</v>
      </c>
      <c r="C151" s="93"/>
      <c r="D151" s="124" t="s">
        <v>77</v>
      </c>
      <c r="E151" s="161">
        <v>95200151.899999991</v>
      </c>
      <c r="F151" s="161">
        <f>SUM(F152,F154)</f>
        <v>154338.21000000002</v>
      </c>
      <c r="G151" s="161">
        <f>SUM(G152,G154)</f>
        <v>4397818.09</v>
      </c>
      <c r="H151" s="161">
        <f t="shared" si="18"/>
        <v>90956672.019999981</v>
      </c>
    </row>
    <row r="152" spans="1:8" s="74" customFormat="1" ht="11.25" customHeight="1" x14ac:dyDescent="0.25">
      <c r="A152" s="91"/>
      <c r="B152" s="95"/>
      <c r="C152" s="86"/>
      <c r="D152" s="543" t="s">
        <v>75</v>
      </c>
      <c r="E152" s="135">
        <v>78423879.269999996</v>
      </c>
      <c r="F152" s="112">
        <f>SUM(F153:F153)</f>
        <v>0</v>
      </c>
      <c r="G152" s="112">
        <f>SUM(G153:G153)</f>
        <v>3570000</v>
      </c>
      <c r="H152" s="135">
        <f t="shared" si="18"/>
        <v>74853879.269999996</v>
      </c>
    </row>
    <row r="153" spans="1:8" s="74" customFormat="1" ht="11.25" customHeight="1" x14ac:dyDescent="0.25">
      <c r="A153" s="138"/>
      <c r="B153" s="162"/>
      <c r="C153" s="113">
        <v>6050</v>
      </c>
      <c r="D153" s="98" t="s">
        <v>67</v>
      </c>
      <c r="E153" s="163">
        <v>36176980.269999996</v>
      </c>
      <c r="F153" s="163"/>
      <c r="G153" s="163">
        <f>570000+3000000</f>
        <v>3570000</v>
      </c>
      <c r="H153" s="163">
        <f t="shared" si="18"/>
        <v>32606980.269999996</v>
      </c>
    </row>
    <row r="154" spans="1:8" s="74" customFormat="1" ht="24.75" customHeight="1" x14ac:dyDescent="0.25">
      <c r="A154" s="138"/>
      <c r="B154" s="162"/>
      <c r="C154" s="86"/>
      <c r="D154" s="544" t="s">
        <v>87</v>
      </c>
      <c r="E154" s="135">
        <v>16258118.630000001</v>
      </c>
      <c r="F154" s="112">
        <f>SUM(F155:F169)</f>
        <v>154338.21000000002</v>
      </c>
      <c r="G154" s="112">
        <f>SUM(G155:G169)</f>
        <v>827818.09</v>
      </c>
      <c r="H154" s="135">
        <f t="shared" ref="H154:H169" si="21">SUM(E154+F154-G154)</f>
        <v>15584638.750000002</v>
      </c>
    </row>
    <row r="155" spans="1:8" s="74" customFormat="1" ht="11.25" customHeight="1" x14ac:dyDescent="0.25">
      <c r="A155" s="164"/>
      <c r="B155" s="165"/>
      <c r="C155" s="166">
        <v>4018</v>
      </c>
      <c r="D155" s="110" t="s">
        <v>187</v>
      </c>
      <c r="E155" s="167">
        <v>0</v>
      </c>
      <c r="F155" s="167">
        <v>31227.01</v>
      </c>
      <c r="G155" s="167"/>
      <c r="H155" s="167">
        <f t="shared" si="21"/>
        <v>31227.01</v>
      </c>
    </row>
    <row r="156" spans="1:8" s="74" customFormat="1" ht="11.25" customHeight="1" x14ac:dyDescent="0.25">
      <c r="A156" s="138"/>
      <c r="B156" s="162"/>
      <c r="C156" s="140">
        <v>4019</v>
      </c>
      <c r="D156" s="168" t="s">
        <v>187</v>
      </c>
      <c r="E156" s="163">
        <v>0</v>
      </c>
      <c r="F156" s="163">
        <v>8481.7999999999993</v>
      </c>
      <c r="G156" s="163"/>
      <c r="H156" s="163">
        <f t="shared" si="21"/>
        <v>8481.7999999999993</v>
      </c>
    </row>
    <row r="157" spans="1:8" s="74" customFormat="1" ht="11.25" customHeight="1" x14ac:dyDescent="0.25">
      <c r="A157" s="138"/>
      <c r="B157" s="162"/>
      <c r="C157" s="133">
        <v>4048</v>
      </c>
      <c r="D157" s="134" t="s">
        <v>188</v>
      </c>
      <c r="E157" s="163">
        <v>0</v>
      </c>
      <c r="F157" s="163">
        <v>2654.28</v>
      </c>
      <c r="G157" s="163"/>
      <c r="H157" s="163">
        <f t="shared" si="21"/>
        <v>2654.28</v>
      </c>
    </row>
    <row r="158" spans="1:8" s="74" customFormat="1" ht="11.25" customHeight="1" x14ac:dyDescent="0.25">
      <c r="A158" s="138"/>
      <c r="B158" s="162"/>
      <c r="C158" s="133">
        <v>4049</v>
      </c>
      <c r="D158" s="134" t="s">
        <v>188</v>
      </c>
      <c r="E158" s="163">
        <v>0</v>
      </c>
      <c r="F158" s="163">
        <v>720.96</v>
      </c>
      <c r="G158" s="163"/>
      <c r="H158" s="163">
        <f t="shared" si="21"/>
        <v>720.96</v>
      </c>
    </row>
    <row r="159" spans="1:8" s="74" customFormat="1" ht="11.25" customHeight="1" x14ac:dyDescent="0.25">
      <c r="A159" s="138"/>
      <c r="B159" s="162"/>
      <c r="C159" s="140">
        <v>4118</v>
      </c>
      <c r="D159" s="168" t="s">
        <v>189</v>
      </c>
      <c r="E159" s="163">
        <v>0</v>
      </c>
      <c r="F159" s="163">
        <v>5736.08</v>
      </c>
      <c r="G159" s="163"/>
      <c r="H159" s="163">
        <f t="shared" si="21"/>
        <v>5736.08</v>
      </c>
    </row>
    <row r="160" spans="1:8" s="74" customFormat="1" ht="11.25" customHeight="1" x14ac:dyDescent="0.25">
      <c r="A160" s="138"/>
      <c r="B160" s="162"/>
      <c r="C160" s="140">
        <v>4119</v>
      </c>
      <c r="D160" s="168" t="s">
        <v>189</v>
      </c>
      <c r="E160" s="163">
        <v>0</v>
      </c>
      <c r="F160" s="163">
        <v>1558</v>
      </c>
      <c r="G160" s="163"/>
      <c r="H160" s="163">
        <f t="shared" si="21"/>
        <v>1558</v>
      </c>
    </row>
    <row r="161" spans="1:8" s="74" customFormat="1" ht="11.25" customHeight="1" x14ac:dyDescent="0.25">
      <c r="A161" s="138"/>
      <c r="B161" s="162"/>
      <c r="C161" s="140">
        <v>4128</v>
      </c>
      <c r="D161" s="168" t="s">
        <v>190</v>
      </c>
      <c r="E161" s="163">
        <v>0</v>
      </c>
      <c r="F161" s="163">
        <v>830.12</v>
      </c>
      <c r="G161" s="163"/>
      <c r="H161" s="163">
        <f t="shared" si="21"/>
        <v>830.12</v>
      </c>
    </row>
    <row r="162" spans="1:8" s="74" customFormat="1" ht="11.25" customHeight="1" x14ac:dyDescent="0.25">
      <c r="A162" s="138"/>
      <c r="B162" s="162"/>
      <c r="C162" s="140">
        <v>4129</v>
      </c>
      <c r="D162" s="168" t="s">
        <v>190</v>
      </c>
      <c r="E162" s="163">
        <v>0</v>
      </c>
      <c r="F162" s="163">
        <v>225.48</v>
      </c>
      <c r="G162" s="163"/>
      <c r="H162" s="163">
        <f t="shared" si="21"/>
        <v>225.48</v>
      </c>
    </row>
    <row r="163" spans="1:8" s="74" customFormat="1" ht="11.25" customHeight="1" x14ac:dyDescent="0.25">
      <c r="A163" s="138"/>
      <c r="B163" s="162"/>
      <c r="C163" s="115" t="s">
        <v>191</v>
      </c>
      <c r="D163" s="134" t="s">
        <v>156</v>
      </c>
      <c r="E163" s="163">
        <v>0</v>
      </c>
      <c r="F163" s="163">
        <v>4722.1899999999996</v>
      </c>
      <c r="G163" s="163"/>
      <c r="H163" s="163">
        <f t="shared" si="21"/>
        <v>4722.1899999999996</v>
      </c>
    </row>
    <row r="164" spans="1:8" s="74" customFormat="1" ht="11.25" customHeight="1" x14ac:dyDescent="0.25">
      <c r="A164" s="138"/>
      <c r="B164" s="162"/>
      <c r="C164" s="115" t="s">
        <v>192</v>
      </c>
      <c r="D164" s="134" t="s">
        <v>156</v>
      </c>
      <c r="E164" s="163">
        <v>0</v>
      </c>
      <c r="F164" s="163">
        <v>1277.81</v>
      </c>
      <c r="G164" s="163"/>
      <c r="H164" s="163">
        <f t="shared" si="21"/>
        <v>1277.81</v>
      </c>
    </row>
    <row r="165" spans="1:8" s="74" customFormat="1" ht="11.25" customHeight="1" x14ac:dyDescent="0.25">
      <c r="A165" s="138"/>
      <c r="B165" s="162"/>
      <c r="C165" s="140">
        <v>4308</v>
      </c>
      <c r="D165" s="168" t="s">
        <v>145</v>
      </c>
      <c r="E165" s="163">
        <v>0</v>
      </c>
      <c r="F165" s="163">
        <v>75697.490000000005</v>
      </c>
      <c r="G165" s="163"/>
      <c r="H165" s="163">
        <f t="shared" si="21"/>
        <v>75697.490000000005</v>
      </c>
    </row>
    <row r="166" spans="1:8" s="74" customFormat="1" ht="11.25" customHeight="1" x14ac:dyDescent="0.25">
      <c r="A166" s="138"/>
      <c r="B166" s="162"/>
      <c r="C166" s="140">
        <v>4309</v>
      </c>
      <c r="D166" s="168" t="s">
        <v>145</v>
      </c>
      <c r="E166" s="163">
        <v>0</v>
      </c>
      <c r="F166" s="163">
        <v>20560.759999999998</v>
      </c>
      <c r="G166" s="163"/>
      <c r="H166" s="163">
        <f t="shared" si="21"/>
        <v>20560.759999999998</v>
      </c>
    </row>
    <row r="167" spans="1:8" s="74" customFormat="1" ht="11.25" customHeight="1" x14ac:dyDescent="0.25">
      <c r="A167" s="138"/>
      <c r="B167" s="162"/>
      <c r="C167" s="113">
        <v>4718</v>
      </c>
      <c r="D167" s="98" t="s">
        <v>178</v>
      </c>
      <c r="E167" s="163">
        <v>0</v>
      </c>
      <c r="F167" s="163">
        <v>508.19</v>
      </c>
      <c r="G167" s="163"/>
      <c r="H167" s="163">
        <f t="shared" si="21"/>
        <v>508.19</v>
      </c>
    </row>
    <row r="168" spans="1:8" s="74" customFormat="1" ht="11.25" customHeight="1" x14ac:dyDescent="0.25">
      <c r="A168" s="138"/>
      <c r="B168" s="162"/>
      <c r="C168" s="113">
        <v>4719</v>
      </c>
      <c r="D168" s="98" t="s">
        <v>178</v>
      </c>
      <c r="E168" s="163">
        <v>0</v>
      </c>
      <c r="F168" s="163">
        <v>138.04</v>
      </c>
      <c r="G168" s="163"/>
      <c r="H168" s="163">
        <f t="shared" si="21"/>
        <v>138.04</v>
      </c>
    </row>
    <row r="169" spans="1:8" s="74" customFormat="1" ht="11.25" customHeight="1" x14ac:dyDescent="0.25">
      <c r="A169" s="138"/>
      <c r="B169" s="162"/>
      <c r="C169" s="113">
        <v>6058</v>
      </c>
      <c r="D169" s="98" t="s">
        <v>67</v>
      </c>
      <c r="E169" s="163">
        <v>12965353.65</v>
      </c>
      <c r="F169" s="163"/>
      <c r="G169" s="163">
        <v>827818.09</v>
      </c>
      <c r="H169" s="163">
        <f t="shared" si="21"/>
        <v>12137535.560000001</v>
      </c>
    </row>
    <row r="170" spans="1:8" s="74" customFormat="1" ht="11.25" customHeight="1" thickBot="1" x14ac:dyDescent="0.3">
      <c r="A170" s="146">
        <v>801</v>
      </c>
      <c r="B170" s="146"/>
      <c r="C170" s="147"/>
      <c r="D170" s="132" t="s">
        <v>122</v>
      </c>
      <c r="E170" s="90">
        <v>211038151.80999994</v>
      </c>
      <c r="F170" s="108">
        <f>SUM(F171)</f>
        <v>58000</v>
      </c>
      <c r="G170" s="108">
        <f>SUM(G171)</f>
        <v>0</v>
      </c>
      <c r="H170" s="90">
        <f t="shared" si="18"/>
        <v>211096151.80999994</v>
      </c>
    </row>
    <row r="171" spans="1:8" s="74" customFormat="1" ht="11.25" customHeight="1" thickTop="1" x14ac:dyDescent="0.25">
      <c r="A171" s="92"/>
      <c r="B171" s="95">
        <v>80195</v>
      </c>
      <c r="C171" s="86"/>
      <c r="D171" s="96" t="s">
        <v>140</v>
      </c>
      <c r="E171" s="97">
        <v>11665658.91</v>
      </c>
      <c r="F171" s="111">
        <f>SUM(F172,)</f>
        <v>58000</v>
      </c>
      <c r="G171" s="111">
        <f>SUM(G172,)</f>
        <v>0</v>
      </c>
      <c r="H171" s="97">
        <f>SUM(E171+F171-G171)</f>
        <v>11723658.91</v>
      </c>
    </row>
    <row r="172" spans="1:8" s="74" customFormat="1" ht="48.75" customHeight="1" x14ac:dyDescent="0.25">
      <c r="A172" s="92"/>
      <c r="B172" s="95"/>
      <c r="C172" s="86"/>
      <c r="D172" s="539" t="s">
        <v>193</v>
      </c>
      <c r="E172" s="135">
        <v>757700.39</v>
      </c>
      <c r="F172" s="135">
        <f>SUM(F173:F182)</f>
        <v>58000</v>
      </c>
      <c r="G172" s="135">
        <f>SUM(G173:G182)</f>
        <v>0</v>
      </c>
      <c r="H172" s="135">
        <f>SUM(E172+F172-G172)</f>
        <v>815700.39</v>
      </c>
    </row>
    <row r="173" spans="1:8" s="74" customFormat="1" ht="12" customHeight="1" x14ac:dyDescent="0.25">
      <c r="A173" s="92"/>
      <c r="B173" s="95"/>
      <c r="C173" s="113">
        <v>4016</v>
      </c>
      <c r="D173" s="98" t="s">
        <v>175</v>
      </c>
      <c r="E173" s="100">
        <v>0</v>
      </c>
      <c r="F173" s="100">
        <v>2392.5</v>
      </c>
      <c r="G173" s="100"/>
      <c r="H173" s="99">
        <f t="shared" ref="H173:H184" si="22">SUM(E173+F173-G173)</f>
        <v>2392.5</v>
      </c>
    </row>
    <row r="174" spans="1:8" s="74" customFormat="1" ht="12" customHeight="1" x14ac:dyDescent="0.25">
      <c r="A174" s="92"/>
      <c r="B174" s="95"/>
      <c r="C174" s="113">
        <v>4017</v>
      </c>
      <c r="D174" s="98" t="s">
        <v>175</v>
      </c>
      <c r="E174" s="100">
        <v>0</v>
      </c>
      <c r="F174" s="100">
        <v>13557.5</v>
      </c>
      <c r="G174" s="100"/>
      <c r="H174" s="99">
        <f t="shared" si="22"/>
        <v>13557.5</v>
      </c>
    </row>
    <row r="175" spans="1:8" s="74" customFormat="1" ht="11.25" customHeight="1" x14ac:dyDescent="0.25">
      <c r="A175" s="92"/>
      <c r="B175" s="95"/>
      <c r="C175" s="140">
        <v>4116</v>
      </c>
      <c r="D175" s="169" t="s">
        <v>194</v>
      </c>
      <c r="E175" s="99">
        <v>2433.92</v>
      </c>
      <c r="F175" s="99">
        <v>1236.9000000000001</v>
      </c>
      <c r="G175" s="99"/>
      <c r="H175" s="99">
        <f t="shared" si="22"/>
        <v>3670.82</v>
      </c>
    </row>
    <row r="176" spans="1:8" s="74" customFormat="1" ht="11.25" customHeight="1" x14ac:dyDescent="0.25">
      <c r="A176" s="92"/>
      <c r="B176" s="95"/>
      <c r="C176" s="140">
        <v>4117</v>
      </c>
      <c r="D176" s="169" t="s">
        <v>194</v>
      </c>
      <c r="E176" s="99">
        <v>13792.18</v>
      </c>
      <c r="F176" s="99">
        <v>7009.1</v>
      </c>
      <c r="G176" s="99"/>
      <c r="H176" s="99">
        <f t="shared" si="22"/>
        <v>20801.28</v>
      </c>
    </row>
    <row r="177" spans="1:8" s="74" customFormat="1" ht="11.25" customHeight="1" x14ac:dyDescent="0.25">
      <c r="A177" s="92"/>
      <c r="B177" s="95"/>
      <c r="C177" s="140">
        <v>4126</v>
      </c>
      <c r="D177" s="98" t="s">
        <v>177</v>
      </c>
      <c r="E177" s="99">
        <v>347.58</v>
      </c>
      <c r="F177" s="99">
        <v>177.6</v>
      </c>
      <c r="G177" s="99"/>
      <c r="H177" s="99">
        <f t="shared" si="22"/>
        <v>525.17999999999995</v>
      </c>
    </row>
    <row r="178" spans="1:8" s="74" customFormat="1" ht="11.25" customHeight="1" x14ac:dyDescent="0.25">
      <c r="A178" s="92"/>
      <c r="B178" s="95"/>
      <c r="C178" s="140">
        <v>4127</v>
      </c>
      <c r="D178" s="98" t="s">
        <v>177</v>
      </c>
      <c r="E178" s="99">
        <v>1969.61</v>
      </c>
      <c r="F178" s="99">
        <v>1006.4</v>
      </c>
      <c r="G178" s="99"/>
      <c r="H178" s="99">
        <f t="shared" si="22"/>
        <v>2976.0099999999998</v>
      </c>
    </row>
    <row r="179" spans="1:8" s="74" customFormat="1" ht="11.25" customHeight="1" x14ac:dyDescent="0.25">
      <c r="A179" s="92"/>
      <c r="B179" s="95"/>
      <c r="C179" s="113">
        <v>4716</v>
      </c>
      <c r="D179" s="98" t="s">
        <v>178</v>
      </c>
      <c r="E179" s="99">
        <v>58.89</v>
      </c>
      <c r="F179" s="99">
        <v>108</v>
      </c>
      <c r="G179" s="99"/>
      <c r="H179" s="99">
        <f t="shared" si="22"/>
        <v>166.89</v>
      </c>
    </row>
    <row r="180" spans="1:8" s="74" customFormat="1" ht="11.25" customHeight="1" x14ac:dyDescent="0.25">
      <c r="A180" s="92"/>
      <c r="B180" s="95"/>
      <c r="C180" s="113">
        <v>4717</v>
      </c>
      <c r="D180" s="98" t="s">
        <v>178</v>
      </c>
      <c r="E180" s="99">
        <v>333.71</v>
      </c>
      <c r="F180" s="99">
        <v>612</v>
      </c>
      <c r="G180" s="99"/>
      <c r="H180" s="99">
        <f t="shared" si="22"/>
        <v>945.71</v>
      </c>
    </row>
    <row r="181" spans="1:8" s="74" customFormat="1" ht="11.25" customHeight="1" x14ac:dyDescent="0.25">
      <c r="A181" s="92"/>
      <c r="B181" s="95"/>
      <c r="C181" s="140">
        <v>4796</v>
      </c>
      <c r="D181" s="168" t="s">
        <v>195</v>
      </c>
      <c r="E181" s="99">
        <v>14156.55</v>
      </c>
      <c r="F181" s="99">
        <v>4785</v>
      </c>
      <c r="G181" s="99"/>
      <c r="H181" s="99">
        <f t="shared" si="22"/>
        <v>18941.55</v>
      </c>
    </row>
    <row r="182" spans="1:8" s="74" customFormat="1" ht="11.25" customHeight="1" x14ac:dyDescent="0.25">
      <c r="A182" s="92"/>
      <c r="B182" s="95"/>
      <c r="C182" s="140">
        <v>4797</v>
      </c>
      <c r="D182" s="168" t="s">
        <v>195</v>
      </c>
      <c r="E182" s="99">
        <v>80220.45</v>
      </c>
      <c r="F182" s="99">
        <v>27115</v>
      </c>
      <c r="G182" s="99"/>
      <c r="H182" s="99">
        <f t="shared" si="22"/>
        <v>107335.45</v>
      </c>
    </row>
    <row r="183" spans="1:8" s="74" customFormat="1" ht="12" customHeight="1" thickBot="1" x14ac:dyDescent="0.3">
      <c r="A183" s="92">
        <v>854</v>
      </c>
      <c r="B183" s="92"/>
      <c r="C183" s="93"/>
      <c r="D183" s="94" t="s">
        <v>196</v>
      </c>
      <c r="E183" s="90">
        <v>35432557.200000003</v>
      </c>
      <c r="F183" s="108">
        <f>SUM(F184)</f>
        <v>100000</v>
      </c>
      <c r="G183" s="108">
        <f>SUM(G184)</f>
        <v>100000</v>
      </c>
      <c r="H183" s="90">
        <f t="shared" si="22"/>
        <v>35432557.200000003</v>
      </c>
    </row>
    <row r="184" spans="1:8" s="74" customFormat="1" ht="12" customHeight="1" thickTop="1" x14ac:dyDescent="0.25">
      <c r="A184" s="92"/>
      <c r="B184" s="113">
        <v>85410</v>
      </c>
      <c r="C184" s="117"/>
      <c r="D184" s="126" t="s">
        <v>197</v>
      </c>
      <c r="E184" s="97">
        <v>17672960.93</v>
      </c>
      <c r="F184" s="111">
        <f>SUM(F185)</f>
        <v>100000</v>
      </c>
      <c r="G184" s="111">
        <f>SUM(G185)</f>
        <v>100000</v>
      </c>
      <c r="H184" s="97">
        <f t="shared" si="22"/>
        <v>17672960.93</v>
      </c>
    </row>
    <row r="185" spans="1:8" s="74" customFormat="1" ht="12" customHeight="1" x14ac:dyDescent="0.25">
      <c r="A185" s="92"/>
      <c r="B185" s="113"/>
      <c r="C185" s="86"/>
      <c r="D185" s="535" t="s">
        <v>103</v>
      </c>
      <c r="E185" s="135">
        <v>100000</v>
      </c>
      <c r="F185" s="135">
        <f>SUM(F186:F186)</f>
        <v>100000</v>
      </c>
      <c r="G185" s="135">
        <f>SUM(G186:G186)</f>
        <v>100000</v>
      </c>
      <c r="H185" s="135">
        <f>SUM(E185+F185-G185)</f>
        <v>100000</v>
      </c>
    </row>
    <row r="186" spans="1:8" s="74" customFormat="1" ht="12" customHeight="1" x14ac:dyDescent="0.25">
      <c r="A186" s="92"/>
      <c r="B186" s="113"/>
      <c r="C186" s="113">
        <v>6050</v>
      </c>
      <c r="D186" s="98" t="s">
        <v>67</v>
      </c>
      <c r="E186" s="99">
        <v>100000</v>
      </c>
      <c r="F186" s="99">
        <v>100000</v>
      </c>
      <c r="G186" s="99">
        <v>100000</v>
      </c>
      <c r="H186" s="99">
        <f t="shared" ref="H186" si="23">SUM(E186+F186-G186)</f>
        <v>100000</v>
      </c>
    </row>
    <row r="187" spans="1:8" s="74" customFormat="1" ht="12" customHeight="1" thickBot="1" x14ac:dyDescent="0.3">
      <c r="A187" s="146">
        <v>855</v>
      </c>
      <c r="B187" s="146"/>
      <c r="C187" s="147"/>
      <c r="D187" s="132" t="s">
        <v>126</v>
      </c>
      <c r="E187" s="139">
        <v>23665193.460000001</v>
      </c>
      <c r="F187" s="139">
        <f>SUM(F188,)</f>
        <v>15388</v>
      </c>
      <c r="G187" s="139">
        <f>SUM(G188,)</f>
        <v>15388</v>
      </c>
      <c r="H187" s="139">
        <f>SUM(E187+F187-G187)</f>
        <v>23665193.460000001</v>
      </c>
    </row>
    <row r="188" spans="1:8" s="74" customFormat="1" ht="12" customHeight="1" thickTop="1" x14ac:dyDescent="0.25">
      <c r="A188" s="146"/>
      <c r="B188" s="113">
        <v>85510</v>
      </c>
      <c r="C188" s="113"/>
      <c r="D188" s="96" t="s">
        <v>198</v>
      </c>
      <c r="E188" s="97">
        <v>18283294.52</v>
      </c>
      <c r="F188" s="97">
        <f>SUM(F189,F191,)</f>
        <v>15388</v>
      </c>
      <c r="G188" s="97">
        <f>SUM(G189,G191,)</f>
        <v>15388</v>
      </c>
      <c r="H188" s="97">
        <f t="shared" ref="H188" si="24">SUM(E188+F188-G188)</f>
        <v>18283294.52</v>
      </c>
    </row>
    <row r="189" spans="1:8" s="74" customFormat="1" ht="12" customHeight="1" x14ac:dyDescent="0.25">
      <c r="A189" s="146"/>
      <c r="B189" s="113"/>
      <c r="C189" s="140"/>
      <c r="D189" s="538" t="s">
        <v>199</v>
      </c>
      <c r="E189" s="112">
        <v>3069200</v>
      </c>
      <c r="F189" s="135">
        <f>SUM(F190:F190)</f>
        <v>15388</v>
      </c>
      <c r="G189" s="135">
        <f>SUM(G190:G190)</f>
        <v>0</v>
      </c>
      <c r="H189" s="135">
        <f>SUM(E189+F189-G189)</f>
        <v>3084588</v>
      </c>
    </row>
    <row r="190" spans="1:8" s="74" customFormat="1" ht="12" customHeight="1" x14ac:dyDescent="0.25">
      <c r="A190" s="146"/>
      <c r="B190" s="113"/>
      <c r="C190" s="113">
        <v>6060</v>
      </c>
      <c r="D190" s="98" t="s">
        <v>168</v>
      </c>
      <c r="E190" s="100">
        <v>50000</v>
      </c>
      <c r="F190" s="99">
        <v>15388</v>
      </c>
      <c r="G190" s="99"/>
      <c r="H190" s="99">
        <f t="shared" ref="H190:H192" si="25">SUM(E190+F190-G190)</f>
        <v>65388</v>
      </c>
    </row>
    <row r="191" spans="1:8" s="74" customFormat="1" ht="12" customHeight="1" x14ac:dyDescent="0.25">
      <c r="A191" s="146"/>
      <c r="B191" s="113"/>
      <c r="C191" s="86"/>
      <c r="D191" s="548" t="s">
        <v>200</v>
      </c>
      <c r="E191" s="135">
        <v>6014707.4800000004</v>
      </c>
      <c r="F191" s="112">
        <f>SUM(F192:F192)</f>
        <v>0</v>
      </c>
      <c r="G191" s="112">
        <f>SUM(G192:G192)</f>
        <v>15388</v>
      </c>
      <c r="H191" s="135">
        <f t="shared" si="25"/>
        <v>5999319.4800000004</v>
      </c>
    </row>
    <row r="192" spans="1:8" s="74" customFormat="1" ht="12" customHeight="1" x14ac:dyDescent="0.25">
      <c r="A192" s="146"/>
      <c r="B192" s="113"/>
      <c r="C192" s="133">
        <v>4040</v>
      </c>
      <c r="D192" s="134" t="s">
        <v>188</v>
      </c>
      <c r="E192" s="99">
        <v>323803</v>
      </c>
      <c r="F192" s="100"/>
      <c r="G192" s="100">
        <v>15388</v>
      </c>
      <c r="H192" s="100">
        <f t="shared" si="25"/>
        <v>308415</v>
      </c>
    </row>
    <row r="193" spans="1:8" s="74" customFormat="1" ht="3" customHeight="1" x14ac:dyDescent="0.25">
      <c r="A193" s="170"/>
      <c r="B193" s="171"/>
      <c r="C193" s="172"/>
      <c r="D193" s="173"/>
      <c r="E193" s="97"/>
      <c r="F193" s="97"/>
      <c r="G193" s="97"/>
      <c r="H193" s="97"/>
    </row>
    <row r="194" spans="1:8" s="74" customFormat="1" ht="12.75" x14ac:dyDescent="0.25">
      <c r="A194" s="174"/>
    </row>
    <row r="195" spans="1:8" x14ac:dyDescent="0.3">
      <c r="B195" s="60"/>
    </row>
  </sheetData>
  <pageMargins left="0.27559055118110237" right="0.11811023622047245" top="0.74803149606299213" bottom="0.51181102362204722" header="0.31496062992125984" footer="0.31496062992125984"/>
  <pageSetup paperSize="9" scale="95" orientation="portrait" r:id="rId1"/>
  <headerFooter>
    <oddFooter>&amp;C&amp;"Arial,Normalny"&amp;8&amp;P</oddFooter>
  </headerFooter>
  <rowBreaks count="1" manualBreakCount="1">
    <brk id="9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6E4C-F01B-45A7-BE08-3FAB37B8E5FB}">
  <sheetPr>
    <tabColor theme="9"/>
    <pageSetUpPr fitToPage="1"/>
  </sheetPr>
  <dimension ref="A1:R77"/>
  <sheetViews>
    <sheetView zoomScaleNormal="100" workbookViewId="0">
      <pane ySplit="19" topLeftCell="A20" activePane="bottomLeft" state="frozen"/>
      <selection pane="bottomLeft" sqref="A1:XFD1048576"/>
    </sheetView>
  </sheetViews>
  <sheetFormatPr defaultRowHeight="12.75" x14ac:dyDescent="0.25"/>
  <cols>
    <col min="1" max="1" width="3.7109375" style="304" customWidth="1"/>
    <col min="2" max="2" width="5.85546875" style="304" customWidth="1"/>
    <col min="3" max="3" width="5.85546875" style="204" hidden="1" customWidth="1"/>
    <col min="4" max="4" width="55.85546875" style="58" customWidth="1"/>
    <col min="5" max="5" width="11.5703125" style="58" customWidth="1"/>
    <col min="6" max="6" width="11.7109375" style="58" customWidth="1"/>
    <col min="7" max="8" width="12" style="180" customWidth="1"/>
    <col min="9" max="9" width="12.140625" style="180" customWidth="1"/>
    <col min="10" max="11" width="12" style="180" customWidth="1"/>
    <col min="12" max="12" width="11.28515625" style="180" customWidth="1"/>
    <col min="13" max="13" width="14.7109375" style="65" customWidth="1"/>
    <col min="14" max="14" width="9.140625" style="58" hidden="1" customWidth="1"/>
    <col min="15" max="15" width="13" style="58" hidden="1" customWidth="1"/>
    <col min="16" max="16" width="10.42578125" style="58" hidden="1" customWidth="1"/>
    <col min="17" max="17" width="10.140625" style="58" hidden="1" customWidth="1"/>
    <col min="18" max="18" width="0" style="58" hidden="1" customWidth="1"/>
    <col min="19" max="259" width="9.140625" style="58"/>
    <col min="260" max="260" width="4.140625" style="58" customWidth="1"/>
    <col min="261" max="261" width="5.5703125" style="58" customWidth="1"/>
    <col min="262" max="262" width="59.5703125" style="58" customWidth="1"/>
    <col min="263" max="264" width="11.28515625" style="58" customWidth="1"/>
    <col min="265" max="265" width="10.5703125" style="58" customWidth="1"/>
    <col min="266" max="266" width="10.42578125" style="58" customWidth="1"/>
    <col min="267" max="267" width="10.7109375" style="58" customWidth="1"/>
    <col min="268" max="268" width="9" style="58" customWidth="1"/>
    <col min="269" max="269" width="11.5703125" style="58" customWidth="1"/>
    <col min="270" max="270" width="9.140625" style="58"/>
    <col min="271" max="271" width="13" style="58" customWidth="1"/>
    <col min="272" max="515" width="9.140625" style="58"/>
    <col min="516" max="516" width="4.140625" style="58" customWidth="1"/>
    <col min="517" max="517" width="5.5703125" style="58" customWidth="1"/>
    <col min="518" max="518" width="59.5703125" style="58" customWidth="1"/>
    <col min="519" max="520" width="11.28515625" style="58" customWidth="1"/>
    <col min="521" max="521" width="10.5703125" style="58" customWidth="1"/>
    <col min="522" max="522" width="10.42578125" style="58" customWidth="1"/>
    <col min="523" max="523" width="10.7109375" style="58" customWidth="1"/>
    <col min="524" max="524" width="9" style="58" customWidth="1"/>
    <col min="525" max="525" width="11.5703125" style="58" customWidth="1"/>
    <col min="526" max="526" width="9.140625" style="58"/>
    <col min="527" max="527" width="13" style="58" customWidth="1"/>
    <col min="528" max="771" width="9.140625" style="58"/>
    <col min="772" max="772" width="4.140625" style="58" customWidth="1"/>
    <col min="773" max="773" width="5.5703125" style="58" customWidth="1"/>
    <col min="774" max="774" width="59.5703125" style="58" customWidth="1"/>
    <col min="775" max="776" width="11.28515625" style="58" customWidth="1"/>
    <col min="777" max="777" width="10.5703125" style="58" customWidth="1"/>
    <col min="778" max="778" width="10.42578125" style="58" customWidth="1"/>
    <col min="779" max="779" width="10.7109375" style="58" customWidth="1"/>
    <col min="780" max="780" width="9" style="58" customWidth="1"/>
    <col min="781" max="781" width="11.5703125" style="58" customWidth="1"/>
    <col min="782" max="782" width="9.140625" style="58"/>
    <col min="783" max="783" width="13" style="58" customWidth="1"/>
    <col min="784" max="1027" width="9.140625" style="58"/>
    <col min="1028" max="1028" width="4.140625" style="58" customWidth="1"/>
    <col min="1029" max="1029" width="5.5703125" style="58" customWidth="1"/>
    <col min="1030" max="1030" width="59.5703125" style="58" customWidth="1"/>
    <col min="1031" max="1032" width="11.28515625" style="58" customWidth="1"/>
    <col min="1033" max="1033" width="10.5703125" style="58" customWidth="1"/>
    <col min="1034" max="1034" width="10.42578125" style="58" customWidth="1"/>
    <col min="1035" max="1035" width="10.7109375" style="58" customWidth="1"/>
    <col min="1036" max="1036" width="9" style="58" customWidth="1"/>
    <col min="1037" max="1037" width="11.5703125" style="58" customWidth="1"/>
    <col min="1038" max="1038" width="9.140625" style="58"/>
    <col min="1039" max="1039" width="13" style="58" customWidth="1"/>
    <col min="1040" max="1283" width="9.140625" style="58"/>
    <col min="1284" max="1284" width="4.140625" style="58" customWidth="1"/>
    <col min="1285" max="1285" width="5.5703125" style="58" customWidth="1"/>
    <col min="1286" max="1286" width="59.5703125" style="58" customWidth="1"/>
    <col min="1287" max="1288" width="11.28515625" style="58" customWidth="1"/>
    <col min="1289" max="1289" width="10.5703125" style="58" customWidth="1"/>
    <col min="1290" max="1290" width="10.42578125" style="58" customWidth="1"/>
    <col min="1291" max="1291" width="10.7109375" style="58" customWidth="1"/>
    <col min="1292" max="1292" width="9" style="58" customWidth="1"/>
    <col min="1293" max="1293" width="11.5703125" style="58" customWidth="1"/>
    <col min="1294" max="1294" width="9.140625" style="58"/>
    <col min="1295" max="1295" width="13" style="58" customWidth="1"/>
    <col min="1296" max="1539" width="9.140625" style="58"/>
    <col min="1540" max="1540" width="4.140625" style="58" customWidth="1"/>
    <col min="1541" max="1541" width="5.5703125" style="58" customWidth="1"/>
    <col min="1542" max="1542" width="59.5703125" style="58" customWidth="1"/>
    <col min="1543" max="1544" width="11.28515625" style="58" customWidth="1"/>
    <col min="1545" max="1545" width="10.5703125" style="58" customWidth="1"/>
    <col min="1546" max="1546" width="10.42578125" style="58" customWidth="1"/>
    <col min="1547" max="1547" width="10.7109375" style="58" customWidth="1"/>
    <col min="1548" max="1548" width="9" style="58" customWidth="1"/>
    <col min="1549" max="1549" width="11.5703125" style="58" customWidth="1"/>
    <col min="1550" max="1550" width="9.140625" style="58"/>
    <col min="1551" max="1551" width="13" style="58" customWidth="1"/>
    <col min="1552" max="1795" width="9.140625" style="58"/>
    <col min="1796" max="1796" width="4.140625" style="58" customWidth="1"/>
    <col min="1797" max="1797" width="5.5703125" style="58" customWidth="1"/>
    <col min="1798" max="1798" width="59.5703125" style="58" customWidth="1"/>
    <col min="1799" max="1800" width="11.28515625" style="58" customWidth="1"/>
    <col min="1801" max="1801" width="10.5703125" style="58" customWidth="1"/>
    <col min="1802" max="1802" width="10.42578125" style="58" customWidth="1"/>
    <col min="1803" max="1803" width="10.7109375" style="58" customWidth="1"/>
    <col min="1804" max="1804" width="9" style="58" customWidth="1"/>
    <col min="1805" max="1805" width="11.5703125" style="58" customWidth="1"/>
    <col min="1806" max="1806" width="9.140625" style="58"/>
    <col min="1807" max="1807" width="13" style="58" customWidth="1"/>
    <col min="1808" max="2051" width="9.140625" style="58"/>
    <col min="2052" max="2052" width="4.140625" style="58" customWidth="1"/>
    <col min="2053" max="2053" width="5.5703125" style="58" customWidth="1"/>
    <col min="2054" max="2054" width="59.5703125" style="58" customWidth="1"/>
    <col min="2055" max="2056" width="11.28515625" style="58" customWidth="1"/>
    <col min="2057" max="2057" width="10.5703125" style="58" customWidth="1"/>
    <col min="2058" max="2058" width="10.42578125" style="58" customWidth="1"/>
    <col min="2059" max="2059" width="10.7109375" style="58" customWidth="1"/>
    <col min="2060" max="2060" width="9" style="58" customWidth="1"/>
    <col min="2061" max="2061" width="11.5703125" style="58" customWidth="1"/>
    <col min="2062" max="2062" width="9.140625" style="58"/>
    <col min="2063" max="2063" width="13" style="58" customWidth="1"/>
    <col min="2064" max="2307" width="9.140625" style="58"/>
    <col min="2308" max="2308" width="4.140625" style="58" customWidth="1"/>
    <col min="2309" max="2309" width="5.5703125" style="58" customWidth="1"/>
    <col min="2310" max="2310" width="59.5703125" style="58" customWidth="1"/>
    <col min="2311" max="2312" width="11.28515625" style="58" customWidth="1"/>
    <col min="2313" max="2313" width="10.5703125" style="58" customWidth="1"/>
    <col min="2314" max="2314" width="10.42578125" style="58" customWidth="1"/>
    <col min="2315" max="2315" width="10.7109375" style="58" customWidth="1"/>
    <col min="2316" max="2316" width="9" style="58" customWidth="1"/>
    <col min="2317" max="2317" width="11.5703125" style="58" customWidth="1"/>
    <col min="2318" max="2318" width="9.140625" style="58"/>
    <col min="2319" max="2319" width="13" style="58" customWidth="1"/>
    <col min="2320" max="2563" width="9.140625" style="58"/>
    <col min="2564" max="2564" width="4.140625" style="58" customWidth="1"/>
    <col min="2565" max="2565" width="5.5703125" style="58" customWidth="1"/>
    <col min="2566" max="2566" width="59.5703125" style="58" customWidth="1"/>
    <col min="2567" max="2568" width="11.28515625" style="58" customWidth="1"/>
    <col min="2569" max="2569" width="10.5703125" style="58" customWidth="1"/>
    <col min="2570" max="2570" width="10.42578125" style="58" customWidth="1"/>
    <col min="2571" max="2571" width="10.7109375" style="58" customWidth="1"/>
    <col min="2572" max="2572" width="9" style="58" customWidth="1"/>
    <col min="2573" max="2573" width="11.5703125" style="58" customWidth="1"/>
    <col min="2574" max="2574" width="9.140625" style="58"/>
    <col min="2575" max="2575" width="13" style="58" customWidth="1"/>
    <col min="2576" max="2819" width="9.140625" style="58"/>
    <col min="2820" max="2820" width="4.140625" style="58" customWidth="1"/>
    <col min="2821" max="2821" width="5.5703125" style="58" customWidth="1"/>
    <col min="2822" max="2822" width="59.5703125" style="58" customWidth="1"/>
    <col min="2823" max="2824" width="11.28515625" style="58" customWidth="1"/>
    <col min="2825" max="2825" width="10.5703125" style="58" customWidth="1"/>
    <col min="2826" max="2826" width="10.42578125" style="58" customWidth="1"/>
    <col min="2827" max="2827" width="10.7109375" style="58" customWidth="1"/>
    <col min="2828" max="2828" width="9" style="58" customWidth="1"/>
    <col min="2829" max="2829" width="11.5703125" style="58" customWidth="1"/>
    <col min="2830" max="2830" width="9.140625" style="58"/>
    <col min="2831" max="2831" width="13" style="58" customWidth="1"/>
    <col min="2832" max="3075" width="9.140625" style="58"/>
    <col min="3076" max="3076" width="4.140625" style="58" customWidth="1"/>
    <col min="3077" max="3077" width="5.5703125" style="58" customWidth="1"/>
    <col min="3078" max="3078" width="59.5703125" style="58" customWidth="1"/>
    <col min="3079" max="3080" width="11.28515625" style="58" customWidth="1"/>
    <col min="3081" max="3081" width="10.5703125" style="58" customWidth="1"/>
    <col min="3082" max="3082" width="10.42578125" style="58" customWidth="1"/>
    <col min="3083" max="3083" width="10.7109375" style="58" customWidth="1"/>
    <col min="3084" max="3084" width="9" style="58" customWidth="1"/>
    <col min="3085" max="3085" width="11.5703125" style="58" customWidth="1"/>
    <col min="3086" max="3086" width="9.140625" style="58"/>
    <col min="3087" max="3087" width="13" style="58" customWidth="1"/>
    <col min="3088" max="3331" width="9.140625" style="58"/>
    <col min="3332" max="3332" width="4.140625" style="58" customWidth="1"/>
    <col min="3333" max="3333" width="5.5703125" style="58" customWidth="1"/>
    <col min="3334" max="3334" width="59.5703125" style="58" customWidth="1"/>
    <col min="3335" max="3336" width="11.28515625" style="58" customWidth="1"/>
    <col min="3337" max="3337" width="10.5703125" style="58" customWidth="1"/>
    <col min="3338" max="3338" width="10.42578125" style="58" customWidth="1"/>
    <col min="3339" max="3339" width="10.7109375" style="58" customWidth="1"/>
    <col min="3340" max="3340" width="9" style="58" customWidth="1"/>
    <col min="3341" max="3341" width="11.5703125" style="58" customWidth="1"/>
    <col min="3342" max="3342" width="9.140625" style="58"/>
    <col min="3343" max="3343" width="13" style="58" customWidth="1"/>
    <col min="3344" max="3587" width="9.140625" style="58"/>
    <col min="3588" max="3588" width="4.140625" style="58" customWidth="1"/>
    <col min="3589" max="3589" width="5.5703125" style="58" customWidth="1"/>
    <col min="3590" max="3590" width="59.5703125" style="58" customWidth="1"/>
    <col min="3591" max="3592" width="11.28515625" style="58" customWidth="1"/>
    <col min="3593" max="3593" width="10.5703125" style="58" customWidth="1"/>
    <col min="3594" max="3594" width="10.42578125" style="58" customWidth="1"/>
    <col min="3595" max="3595" width="10.7109375" style="58" customWidth="1"/>
    <col min="3596" max="3596" width="9" style="58" customWidth="1"/>
    <col min="3597" max="3597" width="11.5703125" style="58" customWidth="1"/>
    <col min="3598" max="3598" width="9.140625" style="58"/>
    <col min="3599" max="3599" width="13" style="58" customWidth="1"/>
    <col min="3600" max="3843" width="9.140625" style="58"/>
    <col min="3844" max="3844" width="4.140625" style="58" customWidth="1"/>
    <col min="3845" max="3845" width="5.5703125" style="58" customWidth="1"/>
    <col min="3846" max="3846" width="59.5703125" style="58" customWidth="1"/>
    <col min="3847" max="3848" width="11.28515625" style="58" customWidth="1"/>
    <col min="3849" max="3849" width="10.5703125" style="58" customWidth="1"/>
    <col min="3850" max="3850" width="10.42578125" style="58" customWidth="1"/>
    <col min="3851" max="3851" width="10.7109375" style="58" customWidth="1"/>
    <col min="3852" max="3852" width="9" style="58" customWidth="1"/>
    <col min="3853" max="3853" width="11.5703125" style="58" customWidth="1"/>
    <col min="3854" max="3854" width="9.140625" style="58"/>
    <col min="3855" max="3855" width="13" style="58" customWidth="1"/>
    <col min="3856" max="4099" width="9.140625" style="58"/>
    <col min="4100" max="4100" width="4.140625" style="58" customWidth="1"/>
    <col min="4101" max="4101" width="5.5703125" style="58" customWidth="1"/>
    <col min="4102" max="4102" width="59.5703125" style="58" customWidth="1"/>
    <col min="4103" max="4104" width="11.28515625" style="58" customWidth="1"/>
    <col min="4105" max="4105" width="10.5703125" style="58" customWidth="1"/>
    <col min="4106" max="4106" width="10.42578125" style="58" customWidth="1"/>
    <col min="4107" max="4107" width="10.7109375" style="58" customWidth="1"/>
    <col min="4108" max="4108" width="9" style="58" customWidth="1"/>
    <col min="4109" max="4109" width="11.5703125" style="58" customWidth="1"/>
    <col min="4110" max="4110" width="9.140625" style="58"/>
    <col min="4111" max="4111" width="13" style="58" customWidth="1"/>
    <col min="4112" max="4355" width="9.140625" style="58"/>
    <col min="4356" max="4356" width="4.140625" style="58" customWidth="1"/>
    <col min="4357" max="4357" width="5.5703125" style="58" customWidth="1"/>
    <col min="4358" max="4358" width="59.5703125" style="58" customWidth="1"/>
    <col min="4359" max="4360" width="11.28515625" style="58" customWidth="1"/>
    <col min="4361" max="4361" width="10.5703125" style="58" customWidth="1"/>
    <col min="4362" max="4362" width="10.42578125" style="58" customWidth="1"/>
    <col min="4363" max="4363" width="10.7109375" style="58" customWidth="1"/>
    <col min="4364" max="4364" width="9" style="58" customWidth="1"/>
    <col min="4365" max="4365" width="11.5703125" style="58" customWidth="1"/>
    <col min="4366" max="4366" width="9.140625" style="58"/>
    <col min="4367" max="4367" width="13" style="58" customWidth="1"/>
    <col min="4368" max="4611" width="9.140625" style="58"/>
    <col min="4612" max="4612" width="4.140625" style="58" customWidth="1"/>
    <col min="4613" max="4613" width="5.5703125" style="58" customWidth="1"/>
    <col min="4614" max="4614" width="59.5703125" style="58" customWidth="1"/>
    <col min="4615" max="4616" width="11.28515625" style="58" customWidth="1"/>
    <col min="4617" max="4617" width="10.5703125" style="58" customWidth="1"/>
    <col min="4618" max="4618" width="10.42578125" style="58" customWidth="1"/>
    <col min="4619" max="4619" width="10.7109375" style="58" customWidth="1"/>
    <col min="4620" max="4620" width="9" style="58" customWidth="1"/>
    <col min="4621" max="4621" width="11.5703125" style="58" customWidth="1"/>
    <col min="4622" max="4622" width="9.140625" style="58"/>
    <col min="4623" max="4623" width="13" style="58" customWidth="1"/>
    <col min="4624" max="4867" width="9.140625" style="58"/>
    <col min="4868" max="4868" width="4.140625" style="58" customWidth="1"/>
    <col min="4869" max="4869" width="5.5703125" style="58" customWidth="1"/>
    <col min="4870" max="4870" width="59.5703125" style="58" customWidth="1"/>
    <col min="4871" max="4872" width="11.28515625" style="58" customWidth="1"/>
    <col min="4873" max="4873" width="10.5703125" style="58" customWidth="1"/>
    <col min="4874" max="4874" width="10.42578125" style="58" customWidth="1"/>
    <col min="4875" max="4875" width="10.7109375" style="58" customWidth="1"/>
    <col min="4876" max="4876" width="9" style="58" customWidth="1"/>
    <col min="4877" max="4877" width="11.5703125" style="58" customWidth="1"/>
    <col min="4878" max="4878" width="9.140625" style="58"/>
    <col min="4879" max="4879" width="13" style="58" customWidth="1"/>
    <col min="4880" max="5123" width="9.140625" style="58"/>
    <col min="5124" max="5124" width="4.140625" style="58" customWidth="1"/>
    <col min="5125" max="5125" width="5.5703125" style="58" customWidth="1"/>
    <col min="5126" max="5126" width="59.5703125" style="58" customWidth="1"/>
    <col min="5127" max="5128" width="11.28515625" style="58" customWidth="1"/>
    <col min="5129" max="5129" width="10.5703125" style="58" customWidth="1"/>
    <col min="5130" max="5130" width="10.42578125" style="58" customWidth="1"/>
    <col min="5131" max="5131" width="10.7109375" style="58" customWidth="1"/>
    <col min="5132" max="5132" width="9" style="58" customWidth="1"/>
    <col min="5133" max="5133" width="11.5703125" style="58" customWidth="1"/>
    <col min="5134" max="5134" width="9.140625" style="58"/>
    <col min="5135" max="5135" width="13" style="58" customWidth="1"/>
    <col min="5136" max="5379" width="9.140625" style="58"/>
    <col min="5380" max="5380" width="4.140625" style="58" customWidth="1"/>
    <col min="5381" max="5381" width="5.5703125" style="58" customWidth="1"/>
    <col min="5382" max="5382" width="59.5703125" style="58" customWidth="1"/>
    <col min="5383" max="5384" width="11.28515625" style="58" customWidth="1"/>
    <col min="5385" max="5385" width="10.5703125" style="58" customWidth="1"/>
    <col min="5386" max="5386" width="10.42578125" style="58" customWidth="1"/>
    <col min="5387" max="5387" width="10.7109375" style="58" customWidth="1"/>
    <col min="5388" max="5388" width="9" style="58" customWidth="1"/>
    <col min="5389" max="5389" width="11.5703125" style="58" customWidth="1"/>
    <col min="5390" max="5390" width="9.140625" style="58"/>
    <col min="5391" max="5391" width="13" style="58" customWidth="1"/>
    <col min="5392" max="5635" width="9.140625" style="58"/>
    <col min="5636" max="5636" width="4.140625" style="58" customWidth="1"/>
    <col min="5637" max="5637" width="5.5703125" style="58" customWidth="1"/>
    <col min="5638" max="5638" width="59.5703125" style="58" customWidth="1"/>
    <col min="5639" max="5640" width="11.28515625" style="58" customWidth="1"/>
    <col min="5641" max="5641" width="10.5703125" style="58" customWidth="1"/>
    <col min="5642" max="5642" width="10.42578125" style="58" customWidth="1"/>
    <col min="5643" max="5643" width="10.7109375" style="58" customWidth="1"/>
    <col min="5644" max="5644" width="9" style="58" customWidth="1"/>
    <col min="5645" max="5645" width="11.5703125" style="58" customWidth="1"/>
    <col min="5646" max="5646" width="9.140625" style="58"/>
    <col min="5647" max="5647" width="13" style="58" customWidth="1"/>
    <col min="5648" max="5891" width="9.140625" style="58"/>
    <col min="5892" max="5892" width="4.140625" style="58" customWidth="1"/>
    <col min="5893" max="5893" width="5.5703125" style="58" customWidth="1"/>
    <col min="5894" max="5894" width="59.5703125" style="58" customWidth="1"/>
    <col min="5895" max="5896" width="11.28515625" style="58" customWidth="1"/>
    <col min="5897" max="5897" width="10.5703125" style="58" customWidth="1"/>
    <col min="5898" max="5898" width="10.42578125" style="58" customWidth="1"/>
    <col min="5899" max="5899" width="10.7109375" style="58" customWidth="1"/>
    <col min="5900" max="5900" width="9" style="58" customWidth="1"/>
    <col min="5901" max="5901" width="11.5703125" style="58" customWidth="1"/>
    <col min="5902" max="5902" width="9.140625" style="58"/>
    <col min="5903" max="5903" width="13" style="58" customWidth="1"/>
    <col min="5904" max="6147" width="9.140625" style="58"/>
    <col min="6148" max="6148" width="4.140625" style="58" customWidth="1"/>
    <col min="6149" max="6149" width="5.5703125" style="58" customWidth="1"/>
    <col min="6150" max="6150" width="59.5703125" style="58" customWidth="1"/>
    <col min="6151" max="6152" width="11.28515625" style="58" customWidth="1"/>
    <col min="6153" max="6153" width="10.5703125" style="58" customWidth="1"/>
    <col min="6154" max="6154" width="10.42578125" style="58" customWidth="1"/>
    <col min="6155" max="6155" width="10.7109375" style="58" customWidth="1"/>
    <col min="6156" max="6156" width="9" style="58" customWidth="1"/>
    <col min="6157" max="6157" width="11.5703125" style="58" customWidth="1"/>
    <col min="6158" max="6158" width="9.140625" style="58"/>
    <col min="6159" max="6159" width="13" style="58" customWidth="1"/>
    <col min="6160" max="6403" width="9.140625" style="58"/>
    <col min="6404" max="6404" width="4.140625" style="58" customWidth="1"/>
    <col min="6405" max="6405" width="5.5703125" style="58" customWidth="1"/>
    <col min="6406" max="6406" width="59.5703125" style="58" customWidth="1"/>
    <col min="6407" max="6408" width="11.28515625" style="58" customWidth="1"/>
    <col min="6409" max="6409" width="10.5703125" style="58" customWidth="1"/>
    <col min="6410" max="6410" width="10.42578125" style="58" customWidth="1"/>
    <col min="6411" max="6411" width="10.7109375" style="58" customWidth="1"/>
    <col min="6412" max="6412" width="9" style="58" customWidth="1"/>
    <col min="6413" max="6413" width="11.5703125" style="58" customWidth="1"/>
    <col min="6414" max="6414" width="9.140625" style="58"/>
    <col min="6415" max="6415" width="13" style="58" customWidth="1"/>
    <col min="6416" max="6659" width="9.140625" style="58"/>
    <col min="6660" max="6660" width="4.140625" style="58" customWidth="1"/>
    <col min="6661" max="6661" width="5.5703125" style="58" customWidth="1"/>
    <col min="6662" max="6662" width="59.5703125" style="58" customWidth="1"/>
    <col min="6663" max="6664" width="11.28515625" style="58" customWidth="1"/>
    <col min="6665" max="6665" width="10.5703125" style="58" customWidth="1"/>
    <col min="6666" max="6666" width="10.42578125" style="58" customWidth="1"/>
    <col min="6667" max="6667" width="10.7109375" style="58" customWidth="1"/>
    <col min="6668" max="6668" width="9" style="58" customWidth="1"/>
    <col min="6669" max="6669" width="11.5703125" style="58" customWidth="1"/>
    <col min="6670" max="6670" width="9.140625" style="58"/>
    <col min="6671" max="6671" width="13" style="58" customWidth="1"/>
    <col min="6672" max="6915" width="9.140625" style="58"/>
    <col min="6916" max="6916" width="4.140625" style="58" customWidth="1"/>
    <col min="6917" max="6917" width="5.5703125" style="58" customWidth="1"/>
    <col min="6918" max="6918" width="59.5703125" style="58" customWidth="1"/>
    <col min="6919" max="6920" width="11.28515625" style="58" customWidth="1"/>
    <col min="6921" max="6921" width="10.5703125" style="58" customWidth="1"/>
    <col min="6922" max="6922" width="10.42578125" style="58" customWidth="1"/>
    <col min="6923" max="6923" width="10.7109375" style="58" customWidth="1"/>
    <col min="6924" max="6924" width="9" style="58" customWidth="1"/>
    <col min="6925" max="6925" width="11.5703125" style="58" customWidth="1"/>
    <col min="6926" max="6926" width="9.140625" style="58"/>
    <col min="6927" max="6927" width="13" style="58" customWidth="1"/>
    <col min="6928" max="7171" width="9.140625" style="58"/>
    <col min="7172" max="7172" width="4.140625" style="58" customWidth="1"/>
    <col min="7173" max="7173" width="5.5703125" style="58" customWidth="1"/>
    <col min="7174" max="7174" width="59.5703125" style="58" customWidth="1"/>
    <col min="7175" max="7176" width="11.28515625" style="58" customWidth="1"/>
    <col min="7177" max="7177" width="10.5703125" style="58" customWidth="1"/>
    <col min="7178" max="7178" width="10.42578125" style="58" customWidth="1"/>
    <col min="7179" max="7179" width="10.7109375" style="58" customWidth="1"/>
    <col min="7180" max="7180" width="9" style="58" customWidth="1"/>
    <col min="7181" max="7181" width="11.5703125" style="58" customWidth="1"/>
    <col min="7182" max="7182" width="9.140625" style="58"/>
    <col min="7183" max="7183" width="13" style="58" customWidth="1"/>
    <col min="7184" max="7427" width="9.140625" style="58"/>
    <col min="7428" max="7428" width="4.140625" style="58" customWidth="1"/>
    <col min="7429" max="7429" width="5.5703125" style="58" customWidth="1"/>
    <col min="7430" max="7430" width="59.5703125" style="58" customWidth="1"/>
    <col min="7431" max="7432" width="11.28515625" style="58" customWidth="1"/>
    <col min="7433" max="7433" width="10.5703125" style="58" customWidth="1"/>
    <col min="7434" max="7434" width="10.42578125" style="58" customWidth="1"/>
    <col min="7435" max="7435" width="10.7109375" style="58" customWidth="1"/>
    <col min="7436" max="7436" width="9" style="58" customWidth="1"/>
    <col min="7437" max="7437" width="11.5703125" style="58" customWidth="1"/>
    <col min="7438" max="7438" width="9.140625" style="58"/>
    <col min="7439" max="7439" width="13" style="58" customWidth="1"/>
    <col min="7440" max="7683" width="9.140625" style="58"/>
    <col min="7684" max="7684" width="4.140625" style="58" customWidth="1"/>
    <col min="7685" max="7685" width="5.5703125" style="58" customWidth="1"/>
    <col min="7686" max="7686" width="59.5703125" style="58" customWidth="1"/>
    <col min="7687" max="7688" width="11.28515625" style="58" customWidth="1"/>
    <col min="7689" max="7689" width="10.5703125" style="58" customWidth="1"/>
    <col min="7690" max="7690" width="10.42578125" style="58" customWidth="1"/>
    <col min="7691" max="7691" width="10.7109375" style="58" customWidth="1"/>
    <col min="7692" max="7692" width="9" style="58" customWidth="1"/>
    <col min="7693" max="7693" width="11.5703125" style="58" customWidth="1"/>
    <col min="7694" max="7694" width="9.140625" style="58"/>
    <col min="7695" max="7695" width="13" style="58" customWidth="1"/>
    <col min="7696" max="7939" width="9.140625" style="58"/>
    <col min="7940" max="7940" width="4.140625" style="58" customWidth="1"/>
    <col min="7941" max="7941" width="5.5703125" style="58" customWidth="1"/>
    <col min="7942" max="7942" width="59.5703125" style="58" customWidth="1"/>
    <col min="7943" max="7944" width="11.28515625" style="58" customWidth="1"/>
    <col min="7945" max="7945" width="10.5703125" style="58" customWidth="1"/>
    <col min="7946" max="7946" width="10.42578125" style="58" customWidth="1"/>
    <col min="7947" max="7947" width="10.7109375" style="58" customWidth="1"/>
    <col min="7948" max="7948" width="9" style="58" customWidth="1"/>
    <col min="7949" max="7949" width="11.5703125" style="58" customWidth="1"/>
    <col min="7950" max="7950" width="9.140625" style="58"/>
    <col min="7951" max="7951" width="13" style="58" customWidth="1"/>
    <col min="7952" max="8195" width="9.140625" style="58"/>
    <col min="8196" max="8196" width="4.140625" style="58" customWidth="1"/>
    <col min="8197" max="8197" width="5.5703125" style="58" customWidth="1"/>
    <col min="8198" max="8198" width="59.5703125" style="58" customWidth="1"/>
    <col min="8199" max="8200" width="11.28515625" style="58" customWidth="1"/>
    <col min="8201" max="8201" width="10.5703125" style="58" customWidth="1"/>
    <col min="8202" max="8202" width="10.42578125" style="58" customWidth="1"/>
    <col min="8203" max="8203" width="10.7109375" style="58" customWidth="1"/>
    <col min="8204" max="8204" width="9" style="58" customWidth="1"/>
    <col min="8205" max="8205" width="11.5703125" style="58" customWidth="1"/>
    <col min="8206" max="8206" width="9.140625" style="58"/>
    <col min="8207" max="8207" width="13" style="58" customWidth="1"/>
    <col min="8208" max="8451" width="9.140625" style="58"/>
    <col min="8452" max="8452" width="4.140625" style="58" customWidth="1"/>
    <col min="8453" max="8453" width="5.5703125" style="58" customWidth="1"/>
    <col min="8454" max="8454" width="59.5703125" style="58" customWidth="1"/>
    <col min="8455" max="8456" width="11.28515625" style="58" customWidth="1"/>
    <col min="8457" max="8457" width="10.5703125" style="58" customWidth="1"/>
    <col min="8458" max="8458" width="10.42578125" style="58" customWidth="1"/>
    <col min="8459" max="8459" width="10.7109375" style="58" customWidth="1"/>
    <col min="8460" max="8460" width="9" style="58" customWidth="1"/>
    <col min="8461" max="8461" width="11.5703125" style="58" customWidth="1"/>
    <col min="8462" max="8462" width="9.140625" style="58"/>
    <col min="8463" max="8463" width="13" style="58" customWidth="1"/>
    <col min="8464" max="8707" width="9.140625" style="58"/>
    <col min="8708" max="8708" width="4.140625" style="58" customWidth="1"/>
    <col min="8709" max="8709" width="5.5703125" style="58" customWidth="1"/>
    <col min="8710" max="8710" width="59.5703125" style="58" customWidth="1"/>
    <col min="8711" max="8712" width="11.28515625" style="58" customWidth="1"/>
    <col min="8713" max="8713" width="10.5703125" style="58" customWidth="1"/>
    <col min="8714" max="8714" width="10.42578125" style="58" customWidth="1"/>
    <col min="8715" max="8715" width="10.7109375" style="58" customWidth="1"/>
    <col min="8716" max="8716" width="9" style="58" customWidth="1"/>
    <col min="8717" max="8717" width="11.5703125" style="58" customWidth="1"/>
    <col min="8718" max="8718" width="9.140625" style="58"/>
    <col min="8719" max="8719" width="13" style="58" customWidth="1"/>
    <col min="8720" max="8963" width="9.140625" style="58"/>
    <col min="8964" max="8964" width="4.140625" style="58" customWidth="1"/>
    <col min="8965" max="8965" width="5.5703125" style="58" customWidth="1"/>
    <col min="8966" max="8966" width="59.5703125" style="58" customWidth="1"/>
    <col min="8967" max="8968" width="11.28515625" style="58" customWidth="1"/>
    <col min="8969" max="8969" width="10.5703125" style="58" customWidth="1"/>
    <col min="8970" max="8970" width="10.42578125" style="58" customWidth="1"/>
    <col min="8971" max="8971" width="10.7109375" style="58" customWidth="1"/>
    <col min="8972" max="8972" width="9" style="58" customWidth="1"/>
    <col min="8973" max="8973" width="11.5703125" style="58" customWidth="1"/>
    <col min="8974" max="8974" width="9.140625" style="58"/>
    <col min="8975" max="8975" width="13" style="58" customWidth="1"/>
    <col min="8976" max="9219" width="9.140625" style="58"/>
    <col min="9220" max="9220" width="4.140625" style="58" customWidth="1"/>
    <col min="9221" max="9221" width="5.5703125" style="58" customWidth="1"/>
    <col min="9222" max="9222" width="59.5703125" style="58" customWidth="1"/>
    <col min="9223" max="9224" width="11.28515625" style="58" customWidth="1"/>
    <col min="9225" max="9225" width="10.5703125" style="58" customWidth="1"/>
    <col min="9226" max="9226" width="10.42578125" style="58" customWidth="1"/>
    <col min="9227" max="9227" width="10.7109375" style="58" customWidth="1"/>
    <col min="9228" max="9228" width="9" style="58" customWidth="1"/>
    <col min="9229" max="9229" width="11.5703125" style="58" customWidth="1"/>
    <col min="9230" max="9230" width="9.140625" style="58"/>
    <col min="9231" max="9231" width="13" style="58" customWidth="1"/>
    <col min="9232" max="9475" width="9.140625" style="58"/>
    <col min="9476" max="9476" width="4.140625" style="58" customWidth="1"/>
    <col min="9477" max="9477" width="5.5703125" style="58" customWidth="1"/>
    <col min="9478" max="9478" width="59.5703125" style="58" customWidth="1"/>
    <col min="9479" max="9480" width="11.28515625" style="58" customWidth="1"/>
    <col min="9481" max="9481" width="10.5703125" style="58" customWidth="1"/>
    <col min="9482" max="9482" width="10.42578125" style="58" customWidth="1"/>
    <col min="9483" max="9483" width="10.7109375" style="58" customWidth="1"/>
    <col min="9484" max="9484" width="9" style="58" customWidth="1"/>
    <col min="9485" max="9485" width="11.5703125" style="58" customWidth="1"/>
    <col min="9486" max="9486" width="9.140625" style="58"/>
    <col min="9487" max="9487" width="13" style="58" customWidth="1"/>
    <col min="9488" max="9731" width="9.140625" style="58"/>
    <col min="9732" max="9732" width="4.140625" style="58" customWidth="1"/>
    <col min="9733" max="9733" width="5.5703125" style="58" customWidth="1"/>
    <col min="9734" max="9734" width="59.5703125" style="58" customWidth="1"/>
    <col min="9735" max="9736" width="11.28515625" style="58" customWidth="1"/>
    <col min="9737" max="9737" width="10.5703125" style="58" customWidth="1"/>
    <col min="9738" max="9738" width="10.42578125" style="58" customWidth="1"/>
    <col min="9739" max="9739" width="10.7109375" style="58" customWidth="1"/>
    <col min="9740" max="9740" width="9" style="58" customWidth="1"/>
    <col min="9741" max="9741" width="11.5703125" style="58" customWidth="1"/>
    <col min="9742" max="9742" width="9.140625" style="58"/>
    <col min="9743" max="9743" width="13" style="58" customWidth="1"/>
    <col min="9744" max="9987" width="9.140625" style="58"/>
    <col min="9988" max="9988" width="4.140625" style="58" customWidth="1"/>
    <col min="9989" max="9989" width="5.5703125" style="58" customWidth="1"/>
    <col min="9990" max="9990" width="59.5703125" style="58" customWidth="1"/>
    <col min="9991" max="9992" width="11.28515625" style="58" customWidth="1"/>
    <col min="9993" max="9993" width="10.5703125" style="58" customWidth="1"/>
    <col min="9994" max="9994" width="10.42578125" style="58" customWidth="1"/>
    <col min="9995" max="9995" width="10.7109375" style="58" customWidth="1"/>
    <col min="9996" max="9996" width="9" style="58" customWidth="1"/>
    <col min="9997" max="9997" width="11.5703125" style="58" customWidth="1"/>
    <col min="9998" max="9998" width="9.140625" style="58"/>
    <col min="9999" max="9999" width="13" style="58" customWidth="1"/>
    <col min="10000" max="10243" width="9.140625" style="58"/>
    <col min="10244" max="10244" width="4.140625" style="58" customWidth="1"/>
    <col min="10245" max="10245" width="5.5703125" style="58" customWidth="1"/>
    <col min="10246" max="10246" width="59.5703125" style="58" customWidth="1"/>
    <col min="10247" max="10248" width="11.28515625" style="58" customWidth="1"/>
    <col min="10249" max="10249" width="10.5703125" style="58" customWidth="1"/>
    <col min="10250" max="10250" width="10.42578125" style="58" customWidth="1"/>
    <col min="10251" max="10251" width="10.7109375" style="58" customWidth="1"/>
    <col min="10252" max="10252" width="9" style="58" customWidth="1"/>
    <col min="10253" max="10253" width="11.5703125" style="58" customWidth="1"/>
    <col min="10254" max="10254" width="9.140625" style="58"/>
    <col min="10255" max="10255" width="13" style="58" customWidth="1"/>
    <col min="10256" max="10499" width="9.140625" style="58"/>
    <col min="10500" max="10500" width="4.140625" style="58" customWidth="1"/>
    <col min="10501" max="10501" width="5.5703125" style="58" customWidth="1"/>
    <col min="10502" max="10502" width="59.5703125" style="58" customWidth="1"/>
    <col min="10503" max="10504" width="11.28515625" style="58" customWidth="1"/>
    <col min="10505" max="10505" width="10.5703125" style="58" customWidth="1"/>
    <col min="10506" max="10506" width="10.42578125" style="58" customWidth="1"/>
    <col min="10507" max="10507" width="10.7109375" style="58" customWidth="1"/>
    <col min="10508" max="10508" width="9" style="58" customWidth="1"/>
    <col min="10509" max="10509" width="11.5703125" style="58" customWidth="1"/>
    <col min="10510" max="10510" width="9.140625" style="58"/>
    <col min="10511" max="10511" width="13" style="58" customWidth="1"/>
    <col min="10512" max="10755" width="9.140625" style="58"/>
    <col min="10756" max="10756" width="4.140625" style="58" customWidth="1"/>
    <col min="10757" max="10757" width="5.5703125" style="58" customWidth="1"/>
    <col min="10758" max="10758" width="59.5703125" style="58" customWidth="1"/>
    <col min="10759" max="10760" width="11.28515625" style="58" customWidth="1"/>
    <col min="10761" max="10761" width="10.5703125" style="58" customWidth="1"/>
    <col min="10762" max="10762" width="10.42578125" style="58" customWidth="1"/>
    <col min="10763" max="10763" width="10.7109375" style="58" customWidth="1"/>
    <col min="10764" max="10764" width="9" style="58" customWidth="1"/>
    <col min="10765" max="10765" width="11.5703125" style="58" customWidth="1"/>
    <col min="10766" max="10766" width="9.140625" style="58"/>
    <col min="10767" max="10767" width="13" style="58" customWidth="1"/>
    <col min="10768" max="11011" width="9.140625" style="58"/>
    <col min="11012" max="11012" width="4.140625" style="58" customWidth="1"/>
    <col min="11013" max="11013" width="5.5703125" style="58" customWidth="1"/>
    <col min="11014" max="11014" width="59.5703125" style="58" customWidth="1"/>
    <col min="11015" max="11016" width="11.28515625" style="58" customWidth="1"/>
    <col min="11017" max="11017" width="10.5703125" style="58" customWidth="1"/>
    <col min="11018" max="11018" width="10.42578125" style="58" customWidth="1"/>
    <col min="11019" max="11019" width="10.7109375" style="58" customWidth="1"/>
    <col min="11020" max="11020" width="9" style="58" customWidth="1"/>
    <col min="11021" max="11021" width="11.5703125" style="58" customWidth="1"/>
    <col min="11022" max="11022" width="9.140625" style="58"/>
    <col min="11023" max="11023" width="13" style="58" customWidth="1"/>
    <col min="11024" max="11267" width="9.140625" style="58"/>
    <col min="11268" max="11268" width="4.140625" style="58" customWidth="1"/>
    <col min="11269" max="11269" width="5.5703125" style="58" customWidth="1"/>
    <col min="11270" max="11270" width="59.5703125" style="58" customWidth="1"/>
    <col min="11271" max="11272" width="11.28515625" style="58" customWidth="1"/>
    <col min="11273" max="11273" width="10.5703125" style="58" customWidth="1"/>
    <col min="11274" max="11274" width="10.42578125" style="58" customWidth="1"/>
    <col min="11275" max="11275" width="10.7109375" style="58" customWidth="1"/>
    <col min="11276" max="11276" width="9" style="58" customWidth="1"/>
    <col min="11277" max="11277" width="11.5703125" style="58" customWidth="1"/>
    <col min="11278" max="11278" width="9.140625" style="58"/>
    <col min="11279" max="11279" width="13" style="58" customWidth="1"/>
    <col min="11280" max="11523" width="9.140625" style="58"/>
    <col min="11524" max="11524" width="4.140625" style="58" customWidth="1"/>
    <col min="11525" max="11525" width="5.5703125" style="58" customWidth="1"/>
    <col min="11526" max="11526" width="59.5703125" style="58" customWidth="1"/>
    <col min="11527" max="11528" width="11.28515625" style="58" customWidth="1"/>
    <col min="11529" max="11529" width="10.5703125" style="58" customWidth="1"/>
    <col min="11530" max="11530" width="10.42578125" style="58" customWidth="1"/>
    <col min="11531" max="11531" width="10.7109375" style="58" customWidth="1"/>
    <col min="11532" max="11532" width="9" style="58" customWidth="1"/>
    <col min="11533" max="11533" width="11.5703125" style="58" customWidth="1"/>
    <col min="11534" max="11534" width="9.140625" style="58"/>
    <col min="11535" max="11535" width="13" style="58" customWidth="1"/>
    <col min="11536" max="11779" width="9.140625" style="58"/>
    <col min="11780" max="11780" width="4.140625" style="58" customWidth="1"/>
    <col min="11781" max="11781" width="5.5703125" style="58" customWidth="1"/>
    <col min="11782" max="11782" width="59.5703125" style="58" customWidth="1"/>
    <col min="11783" max="11784" width="11.28515625" style="58" customWidth="1"/>
    <col min="11785" max="11785" width="10.5703125" style="58" customWidth="1"/>
    <col min="11786" max="11786" width="10.42578125" style="58" customWidth="1"/>
    <col min="11787" max="11787" width="10.7109375" style="58" customWidth="1"/>
    <col min="11788" max="11788" width="9" style="58" customWidth="1"/>
    <col min="11789" max="11789" width="11.5703125" style="58" customWidth="1"/>
    <col min="11790" max="11790" width="9.140625" style="58"/>
    <col min="11791" max="11791" width="13" style="58" customWidth="1"/>
    <col min="11792" max="12035" width="9.140625" style="58"/>
    <col min="12036" max="12036" width="4.140625" style="58" customWidth="1"/>
    <col min="12037" max="12037" width="5.5703125" style="58" customWidth="1"/>
    <col min="12038" max="12038" width="59.5703125" style="58" customWidth="1"/>
    <col min="12039" max="12040" width="11.28515625" style="58" customWidth="1"/>
    <col min="12041" max="12041" width="10.5703125" style="58" customWidth="1"/>
    <col min="12042" max="12042" width="10.42578125" style="58" customWidth="1"/>
    <col min="12043" max="12043" width="10.7109375" style="58" customWidth="1"/>
    <col min="12044" max="12044" width="9" style="58" customWidth="1"/>
    <col min="12045" max="12045" width="11.5703125" style="58" customWidth="1"/>
    <col min="12046" max="12046" width="9.140625" style="58"/>
    <col min="12047" max="12047" width="13" style="58" customWidth="1"/>
    <col min="12048" max="12291" width="9.140625" style="58"/>
    <col min="12292" max="12292" width="4.140625" style="58" customWidth="1"/>
    <col min="12293" max="12293" width="5.5703125" style="58" customWidth="1"/>
    <col min="12294" max="12294" width="59.5703125" style="58" customWidth="1"/>
    <col min="12295" max="12296" width="11.28515625" style="58" customWidth="1"/>
    <col min="12297" max="12297" width="10.5703125" style="58" customWidth="1"/>
    <col min="12298" max="12298" width="10.42578125" style="58" customWidth="1"/>
    <col min="12299" max="12299" width="10.7109375" style="58" customWidth="1"/>
    <col min="12300" max="12300" width="9" style="58" customWidth="1"/>
    <col min="12301" max="12301" width="11.5703125" style="58" customWidth="1"/>
    <col min="12302" max="12302" width="9.140625" style="58"/>
    <col min="12303" max="12303" width="13" style="58" customWidth="1"/>
    <col min="12304" max="12547" width="9.140625" style="58"/>
    <col min="12548" max="12548" width="4.140625" style="58" customWidth="1"/>
    <col min="12549" max="12549" width="5.5703125" style="58" customWidth="1"/>
    <col min="12550" max="12550" width="59.5703125" style="58" customWidth="1"/>
    <col min="12551" max="12552" width="11.28515625" style="58" customWidth="1"/>
    <col min="12553" max="12553" width="10.5703125" style="58" customWidth="1"/>
    <col min="12554" max="12554" width="10.42578125" style="58" customWidth="1"/>
    <col min="12555" max="12555" width="10.7109375" style="58" customWidth="1"/>
    <col min="12556" max="12556" width="9" style="58" customWidth="1"/>
    <col min="12557" max="12557" width="11.5703125" style="58" customWidth="1"/>
    <col min="12558" max="12558" width="9.140625" style="58"/>
    <col min="12559" max="12559" width="13" style="58" customWidth="1"/>
    <col min="12560" max="12803" width="9.140625" style="58"/>
    <col min="12804" max="12804" width="4.140625" style="58" customWidth="1"/>
    <col min="12805" max="12805" width="5.5703125" style="58" customWidth="1"/>
    <col min="12806" max="12806" width="59.5703125" style="58" customWidth="1"/>
    <col min="12807" max="12808" width="11.28515625" style="58" customWidth="1"/>
    <col min="12809" max="12809" width="10.5703125" style="58" customWidth="1"/>
    <col min="12810" max="12810" width="10.42578125" style="58" customWidth="1"/>
    <col min="12811" max="12811" width="10.7109375" style="58" customWidth="1"/>
    <col min="12812" max="12812" width="9" style="58" customWidth="1"/>
    <col min="12813" max="12813" width="11.5703125" style="58" customWidth="1"/>
    <col min="12814" max="12814" width="9.140625" style="58"/>
    <col min="12815" max="12815" width="13" style="58" customWidth="1"/>
    <col min="12816" max="13059" width="9.140625" style="58"/>
    <col min="13060" max="13060" width="4.140625" style="58" customWidth="1"/>
    <col min="13061" max="13061" width="5.5703125" style="58" customWidth="1"/>
    <col min="13062" max="13062" width="59.5703125" style="58" customWidth="1"/>
    <col min="13063" max="13064" width="11.28515625" style="58" customWidth="1"/>
    <col min="13065" max="13065" width="10.5703125" style="58" customWidth="1"/>
    <col min="13066" max="13066" width="10.42578125" style="58" customWidth="1"/>
    <col min="13067" max="13067" width="10.7109375" style="58" customWidth="1"/>
    <col min="13068" max="13068" width="9" style="58" customWidth="1"/>
    <col min="13069" max="13069" width="11.5703125" style="58" customWidth="1"/>
    <col min="13070" max="13070" width="9.140625" style="58"/>
    <col min="13071" max="13071" width="13" style="58" customWidth="1"/>
    <col min="13072" max="13315" width="9.140625" style="58"/>
    <col min="13316" max="13316" width="4.140625" style="58" customWidth="1"/>
    <col min="13317" max="13317" width="5.5703125" style="58" customWidth="1"/>
    <col min="13318" max="13318" width="59.5703125" style="58" customWidth="1"/>
    <col min="13319" max="13320" width="11.28515625" style="58" customWidth="1"/>
    <col min="13321" max="13321" width="10.5703125" style="58" customWidth="1"/>
    <col min="13322" max="13322" width="10.42578125" style="58" customWidth="1"/>
    <col min="13323" max="13323" width="10.7109375" style="58" customWidth="1"/>
    <col min="13324" max="13324" width="9" style="58" customWidth="1"/>
    <col min="13325" max="13325" width="11.5703125" style="58" customWidth="1"/>
    <col min="13326" max="13326" width="9.140625" style="58"/>
    <col min="13327" max="13327" width="13" style="58" customWidth="1"/>
    <col min="13328" max="13571" width="9.140625" style="58"/>
    <col min="13572" max="13572" width="4.140625" style="58" customWidth="1"/>
    <col min="13573" max="13573" width="5.5703125" style="58" customWidth="1"/>
    <col min="13574" max="13574" width="59.5703125" style="58" customWidth="1"/>
    <col min="13575" max="13576" width="11.28515625" style="58" customWidth="1"/>
    <col min="13577" max="13577" width="10.5703125" style="58" customWidth="1"/>
    <col min="13578" max="13578" width="10.42578125" style="58" customWidth="1"/>
    <col min="13579" max="13579" width="10.7109375" style="58" customWidth="1"/>
    <col min="13580" max="13580" width="9" style="58" customWidth="1"/>
    <col min="13581" max="13581" width="11.5703125" style="58" customWidth="1"/>
    <col min="13582" max="13582" width="9.140625" style="58"/>
    <col min="13583" max="13583" width="13" style="58" customWidth="1"/>
    <col min="13584" max="13827" width="9.140625" style="58"/>
    <col min="13828" max="13828" width="4.140625" style="58" customWidth="1"/>
    <col min="13829" max="13829" width="5.5703125" style="58" customWidth="1"/>
    <col min="13830" max="13830" width="59.5703125" style="58" customWidth="1"/>
    <col min="13831" max="13832" width="11.28515625" style="58" customWidth="1"/>
    <col min="13833" max="13833" width="10.5703125" style="58" customWidth="1"/>
    <col min="13834" max="13834" width="10.42578125" style="58" customWidth="1"/>
    <col min="13835" max="13835" width="10.7109375" style="58" customWidth="1"/>
    <col min="13836" max="13836" width="9" style="58" customWidth="1"/>
    <col min="13837" max="13837" width="11.5703125" style="58" customWidth="1"/>
    <col min="13838" max="13838" width="9.140625" style="58"/>
    <col min="13839" max="13839" width="13" style="58" customWidth="1"/>
    <col min="13840" max="14083" width="9.140625" style="58"/>
    <col min="14084" max="14084" width="4.140625" style="58" customWidth="1"/>
    <col min="14085" max="14085" width="5.5703125" style="58" customWidth="1"/>
    <col min="14086" max="14086" width="59.5703125" style="58" customWidth="1"/>
    <col min="14087" max="14088" width="11.28515625" style="58" customWidth="1"/>
    <col min="14089" max="14089" width="10.5703125" style="58" customWidth="1"/>
    <col min="14090" max="14090" width="10.42578125" style="58" customWidth="1"/>
    <col min="14091" max="14091" width="10.7109375" style="58" customWidth="1"/>
    <col min="14092" max="14092" width="9" style="58" customWidth="1"/>
    <col min="14093" max="14093" width="11.5703125" style="58" customWidth="1"/>
    <col min="14094" max="14094" width="9.140625" style="58"/>
    <col min="14095" max="14095" width="13" style="58" customWidth="1"/>
    <col min="14096" max="14339" width="9.140625" style="58"/>
    <col min="14340" max="14340" width="4.140625" style="58" customWidth="1"/>
    <col min="14341" max="14341" width="5.5703125" style="58" customWidth="1"/>
    <col min="14342" max="14342" width="59.5703125" style="58" customWidth="1"/>
    <col min="14343" max="14344" width="11.28515625" style="58" customWidth="1"/>
    <col min="14345" max="14345" width="10.5703125" style="58" customWidth="1"/>
    <col min="14346" max="14346" width="10.42578125" style="58" customWidth="1"/>
    <col min="14347" max="14347" width="10.7109375" style="58" customWidth="1"/>
    <col min="14348" max="14348" width="9" style="58" customWidth="1"/>
    <col min="14349" max="14349" width="11.5703125" style="58" customWidth="1"/>
    <col min="14350" max="14350" width="9.140625" style="58"/>
    <col min="14351" max="14351" width="13" style="58" customWidth="1"/>
    <col min="14352" max="14595" width="9.140625" style="58"/>
    <col min="14596" max="14596" width="4.140625" style="58" customWidth="1"/>
    <col min="14597" max="14597" width="5.5703125" style="58" customWidth="1"/>
    <col min="14598" max="14598" width="59.5703125" style="58" customWidth="1"/>
    <col min="14599" max="14600" width="11.28515625" style="58" customWidth="1"/>
    <col min="14601" max="14601" width="10.5703125" style="58" customWidth="1"/>
    <col min="14602" max="14602" width="10.42578125" style="58" customWidth="1"/>
    <col min="14603" max="14603" width="10.7109375" style="58" customWidth="1"/>
    <col min="14604" max="14604" width="9" style="58" customWidth="1"/>
    <col min="14605" max="14605" width="11.5703125" style="58" customWidth="1"/>
    <col min="14606" max="14606" width="9.140625" style="58"/>
    <col min="14607" max="14607" width="13" style="58" customWidth="1"/>
    <col min="14608" max="14851" width="9.140625" style="58"/>
    <col min="14852" max="14852" width="4.140625" style="58" customWidth="1"/>
    <col min="14853" max="14853" width="5.5703125" style="58" customWidth="1"/>
    <col min="14854" max="14854" width="59.5703125" style="58" customWidth="1"/>
    <col min="14855" max="14856" width="11.28515625" style="58" customWidth="1"/>
    <col min="14857" max="14857" width="10.5703125" style="58" customWidth="1"/>
    <col min="14858" max="14858" width="10.42578125" style="58" customWidth="1"/>
    <col min="14859" max="14859" width="10.7109375" style="58" customWidth="1"/>
    <col min="14860" max="14860" width="9" style="58" customWidth="1"/>
    <col min="14861" max="14861" width="11.5703125" style="58" customWidth="1"/>
    <col min="14862" max="14862" width="9.140625" style="58"/>
    <col min="14863" max="14863" width="13" style="58" customWidth="1"/>
    <col min="14864" max="15107" width="9.140625" style="58"/>
    <col min="15108" max="15108" width="4.140625" style="58" customWidth="1"/>
    <col min="15109" max="15109" width="5.5703125" style="58" customWidth="1"/>
    <col min="15110" max="15110" width="59.5703125" style="58" customWidth="1"/>
    <col min="15111" max="15112" width="11.28515625" style="58" customWidth="1"/>
    <col min="15113" max="15113" width="10.5703125" style="58" customWidth="1"/>
    <col min="15114" max="15114" width="10.42578125" style="58" customWidth="1"/>
    <col min="15115" max="15115" width="10.7109375" style="58" customWidth="1"/>
    <col min="15116" max="15116" width="9" style="58" customWidth="1"/>
    <col min="15117" max="15117" width="11.5703125" style="58" customWidth="1"/>
    <col min="15118" max="15118" width="9.140625" style="58"/>
    <col min="15119" max="15119" width="13" style="58" customWidth="1"/>
    <col min="15120" max="15363" width="9.140625" style="58"/>
    <col min="15364" max="15364" width="4.140625" style="58" customWidth="1"/>
    <col min="15365" max="15365" width="5.5703125" style="58" customWidth="1"/>
    <col min="15366" max="15366" width="59.5703125" style="58" customWidth="1"/>
    <col min="15367" max="15368" width="11.28515625" style="58" customWidth="1"/>
    <col min="15369" max="15369" width="10.5703125" style="58" customWidth="1"/>
    <col min="15370" max="15370" width="10.42578125" style="58" customWidth="1"/>
    <col min="15371" max="15371" width="10.7109375" style="58" customWidth="1"/>
    <col min="15372" max="15372" width="9" style="58" customWidth="1"/>
    <col min="15373" max="15373" width="11.5703125" style="58" customWidth="1"/>
    <col min="15374" max="15374" width="9.140625" style="58"/>
    <col min="15375" max="15375" width="13" style="58" customWidth="1"/>
    <col min="15376" max="15619" width="9.140625" style="58"/>
    <col min="15620" max="15620" width="4.140625" style="58" customWidth="1"/>
    <col min="15621" max="15621" width="5.5703125" style="58" customWidth="1"/>
    <col min="15622" max="15622" width="59.5703125" style="58" customWidth="1"/>
    <col min="15623" max="15624" width="11.28515625" style="58" customWidth="1"/>
    <col min="15625" max="15625" width="10.5703125" style="58" customWidth="1"/>
    <col min="15626" max="15626" width="10.42578125" style="58" customWidth="1"/>
    <col min="15627" max="15627" width="10.7109375" style="58" customWidth="1"/>
    <col min="15628" max="15628" width="9" style="58" customWidth="1"/>
    <col min="15629" max="15629" width="11.5703125" style="58" customWidth="1"/>
    <col min="15630" max="15630" width="9.140625" style="58"/>
    <col min="15631" max="15631" width="13" style="58" customWidth="1"/>
    <col min="15632" max="15875" width="9.140625" style="58"/>
    <col min="15876" max="15876" width="4.140625" style="58" customWidth="1"/>
    <col min="15877" max="15877" width="5.5703125" style="58" customWidth="1"/>
    <col min="15878" max="15878" width="59.5703125" style="58" customWidth="1"/>
    <col min="15879" max="15880" width="11.28515625" style="58" customWidth="1"/>
    <col min="15881" max="15881" width="10.5703125" style="58" customWidth="1"/>
    <col min="15882" max="15882" width="10.42578125" style="58" customWidth="1"/>
    <col min="15883" max="15883" width="10.7109375" style="58" customWidth="1"/>
    <col min="15884" max="15884" width="9" style="58" customWidth="1"/>
    <col min="15885" max="15885" width="11.5703125" style="58" customWidth="1"/>
    <col min="15886" max="15886" width="9.140625" style="58"/>
    <col min="15887" max="15887" width="13" style="58" customWidth="1"/>
    <col min="15888" max="16131" width="9.140625" style="58"/>
    <col min="16132" max="16132" width="4.140625" style="58" customWidth="1"/>
    <col min="16133" max="16133" width="5.5703125" style="58" customWidth="1"/>
    <col min="16134" max="16134" width="59.5703125" style="58" customWidth="1"/>
    <col min="16135" max="16136" width="11.28515625" style="58" customWidth="1"/>
    <col min="16137" max="16137" width="10.5703125" style="58" customWidth="1"/>
    <col min="16138" max="16138" width="10.42578125" style="58" customWidth="1"/>
    <col min="16139" max="16139" width="10.7109375" style="58" customWidth="1"/>
    <col min="16140" max="16140" width="9" style="58" customWidth="1"/>
    <col min="16141" max="16141" width="11.5703125" style="58" customWidth="1"/>
    <col min="16142" max="16142" width="9.140625" style="58"/>
    <col min="16143" max="16143" width="13" style="58" customWidth="1"/>
    <col min="16144" max="16384" width="9.140625" style="58"/>
  </cols>
  <sheetData>
    <row r="1" spans="1:18" ht="12" customHeight="1" x14ac:dyDescent="0.25">
      <c r="A1" s="176"/>
      <c r="B1" s="176"/>
      <c r="C1" s="177"/>
      <c r="D1" s="178"/>
      <c r="E1" s="178"/>
      <c r="F1" s="178"/>
      <c r="G1" s="179"/>
      <c r="H1" s="179"/>
      <c r="I1" s="179"/>
      <c r="J1" s="179"/>
      <c r="M1" s="181"/>
      <c r="Q1" s="151"/>
    </row>
    <row r="2" spans="1:18" ht="12.95" customHeight="1" x14ac:dyDescent="0.25">
      <c r="A2" s="176"/>
      <c r="B2" s="176"/>
      <c r="C2" s="177"/>
      <c r="D2" s="178"/>
      <c r="E2" s="178"/>
      <c r="F2" s="178"/>
      <c r="G2" s="179"/>
      <c r="H2" s="179"/>
      <c r="I2" s="179"/>
      <c r="J2" s="179"/>
      <c r="K2" s="182" t="s">
        <v>7</v>
      </c>
      <c r="L2" s="182"/>
      <c r="M2" s="183"/>
      <c r="N2" s="54"/>
      <c r="O2" s="59"/>
      <c r="P2" s="54"/>
    </row>
    <row r="3" spans="1:18" ht="12.95" customHeight="1" x14ac:dyDescent="0.25">
      <c r="A3" s="176"/>
      <c r="B3" s="176"/>
      <c r="C3" s="177"/>
      <c r="D3" s="178"/>
      <c r="E3" s="178"/>
      <c r="F3" s="178"/>
      <c r="G3" s="179"/>
      <c r="H3" s="179"/>
      <c r="I3" s="179"/>
      <c r="J3" s="179"/>
      <c r="K3" s="184" t="s">
        <v>435</v>
      </c>
      <c r="L3" s="184"/>
      <c r="M3" s="183"/>
      <c r="N3" s="54"/>
      <c r="O3" s="59"/>
      <c r="P3" s="54"/>
    </row>
    <row r="4" spans="1:18" ht="12.95" customHeight="1" x14ac:dyDescent="0.25">
      <c r="A4" s="176"/>
      <c r="B4" s="176"/>
      <c r="C4" s="177"/>
      <c r="D4" s="178"/>
      <c r="E4" s="178"/>
      <c r="F4" s="178"/>
      <c r="G4" s="185"/>
      <c r="H4" s="179"/>
      <c r="I4" s="179"/>
      <c r="J4" s="179"/>
      <c r="K4" s="184" t="s">
        <v>1</v>
      </c>
      <c r="L4" s="184"/>
      <c r="M4" s="183"/>
      <c r="N4" s="54"/>
      <c r="O4" s="59"/>
      <c r="P4" s="54"/>
    </row>
    <row r="5" spans="1:18" ht="12.95" customHeight="1" x14ac:dyDescent="0.25">
      <c r="A5" s="176"/>
      <c r="B5" s="176"/>
      <c r="C5" s="177"/>
      <c r="D5" s="178"/>
      <c r="E5" s="178"/>
      <c r="F5" s="178"/>
      <c r="G5" s="179"/>
      <c r="H5" s="179"/>
      <c r="I5" s="179"/>
      <c r="J5" s="179"/>
      <c r="K5" s="184" t="s">
        <v>201</v>
      </c>
      <c r="L5" s="184"/>
      <c r="M5" s="183"/>
      <c r="N5" s="54"/>
      <c r="O5" s="59"/>
      <c r="P5" s="54"/>
    </row>
    <row r="6" spans="1:18" ht="12" customHeight="1" x14ac:dyDescent="0.25">
      <c r="A6" s="176"/>
      <c r="B6" s="176"/>
      <c r="C6" s="177"/>
      <c r="D6" s="178"/>
      <c r="E6" s="178"/>
      <c r="F6" s="178"/>
      <c r="G6" s="179"/>
      <c r="H6" s="179"/>
      <c r="I6" s="179"/>
      <c r="J6" s="179"/>
      <c r="K6" s="179"/>
      <c r="L6" s="186"/>
      <c r="M6" s="183"/>
      <c r="N6" s="54"/>
      <c r="O6" s="59"/>
      <c r="P6" s="54"/>
    </row>
    <row r="7" spans="1:18" ht="12" customHeight="1" x14ac:dyDescent="0.25">
      <c r="A7" s="176"/>
      <c r="B7" s="176"/>
      <c r="C7" s="177"/>
      <c r="D7" s="178"/>
      <c r="E7" s="178"/>
      <c r="F7" s="178"/>
      <c r="G7" s="179"/>
      <c r="H7" s="179"/>
      <c r="I7" s="179"/>
      <c r="J7" s="179"/>
      <c r="K7" s="179"/>
      <c r="L7" s="186"/>
      <c r="M7" s="183"/>
      <c r="N7" s="54"/>
      <c r="O7" s="59"/>
      <c r="P7" s="54"/>
    </row>
    <row r="8" spans="1:18" ht="14.25" customHeight="1" x14ac:dyDescent="0.25">
      <c r="A8" s="187" t="s">
        <v>78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8"/>
      <c r="N8" s="189"/>
      <c r="O8" s="101"/>
      <c r="P8" s="190"/>
      <c r="Q8" s="191"/>
      <c r="R8" s="64"/>
    </row>
    <row r="9" spans="1:18" ht="14.25" customHeight="1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88"/>
      <c r="N9" s="189"/>
      <c r="O9" s="101"/>
      <c r="P9" s="190"/>
      <c r="Q9" s="191"/>
      <c r="R9" s="192"/>
    </row>
    <row r="10" spans="1:18" ht="11.25" customHeight="1" x14ac:dyDescent="0.25">
      <c r="A10" s="176"/>
      <c r="B10" s="176"/>
      <c r="C10" s="177"/>
      <c r="D10" s="193"/>
      <c r="E10" s="193"/>
      <c r="F10" s="193"/>
      <c r="G10" s="179"/>
      <c r="H10" s="179"/>
      <c r="I10" s="194"/>
      <c r="J10" s="194"/>
      <c r="K10" s="194"/>
      <c r="L10" s="179" t="s">
        <v>2</v>
      </c>
      <c r="M10" s="195"/>
      <c r="O10" s="59"/>
      <c r="P10" s="54"/>
      <c r="Q10" s="151"/>
    </row>
    <row r="11" spans="1:18" s="204" customFormat="1" ht="12" customHeight="1" x14ac:dyDescent="0.25">
      <c r="A11" s="196"/>
      <c r="B11" s="196"/>
      <c r="C11" s="197"/>
      <c r="D11" s="196"/>
      <c r="E11" s="196"/>
      <c r="F11" s="196"/>
      <c r="G11" s="198"/>
      <c r="H11" s="199" t="s">
        <v>8</v>
      </c>
      <c r="I11" s="200"/>
      <c r="J11" s="201"/>
      <c r="K11" s="202"/>
      <c r="L11" s="203" t="s">
        <v>9</v>
      </c>
      <c r="M11" s="198" t="s">
        <v>10</v>
      </c>
      <c r="O11" s="205"/>
      <c r="P11" s="206"/>
      <c r="Q11" s="207"/>
      <c r="R11" s="208"/>
    </row>
    <row r="12" spans="1:18" s="204" customFormat="1" ht="12.75" customHeight="1" x14ac:dyDescent="0.25">
      <c r="A12" s="209"/>
      <c r="B12" s="210"/>
      <c r="C12" s="211"/>
      <c r="D12" s="210"/>
      <c r="E12" s="210"/>
      <c r="F12" s="210"/>
      <c r="G12" s="212" t="s">
        <v>11</v>
      </c>
      <c r="H12" s="213" t="s">
        <v>12</v>
      </c>
      <c r="I12" s="214"/>
      <c r="J12" s="214" t="s">
        <v>13</v>
      </c>
      <c r="K12" s="215"/>
      <c r="L12" s="213" t="s">
        <v>14</v>
      </c>
      <c r="M12" s="216" t="s">
        <v>15</v>
      </c>
      <c r="O12" s="217"/>
      <c r="P12" s="218"/>
      <c r="Q12" s="207"/>
      <c r="R12" s="219"/>
    </row>
    <row r="13" spans="1:18" s="204" customFormat="1" x14ac:dyDescent="0.25">
      <c r="A13" s="209" t="s">
        <v>16</v>
      </c>
      <c r="B13" s="210" t="s">
        <v>3</v>
      </c>
      <c r="C13" s="210" t="s">
        <v>4</v>
      </c>
      <c r="D13" s="210" t="s">
        <v>17</v>
      </c>
      <c r="E13" s="1" t="s">
        <v>5</v>
      </c>
      <c r="F13" s="1" t="s">
        <v>6</v>
      </c>
      <c r="G13" s="212" t="s">
        <v>18</v>
      </c>
      <c r="H13" s="213" t="s">
        <v>19</v>
      </c>
      <c r="I13" s="216"/>
      <c r="J13" s="203" t="s">
        <v>20</v>
      </c>
      <c r="K13" s="212" t="s">
        <v>20</v>
      </c>
      <c r="L13" s="212" t="s">
        <v>21</v>
      </c>
      <c r="M13" s="216" t="s">
        <v>22</v>
      </c>
      <c r="O13" s="217"/>
      <c r="P13" s="220"/>
      <c r="Q13" s="207"/>
      <c r="R13" s="208"/>
    </row>
    <row r="14" spans="1:18" s="204" customFormat="1" x14ac:dyDescent="0.25">
      <c r="A14" s="209"/>
      <c r="B14" s="210"/>
      <c r="C14" s="211"/>
      <c r="D14" s="210"/>
      <c r="E14" s="210"/>
      <c r="F14" s="210"/>
      <c r="G14" s="212" t="s">
        <v>23</v>
      </c>
      <c r="H14" s="213">
        <v>2026</v>
      </c>
      <c r="I14" s="216" t="s">
        <v>20</v>
      </c>
      <c r="J14" s="212" t="s">
        <v>24</v>
      </c>
      <c r="K14" s="212" t="s">
        <v>25</v>
      </c>
      <c r="L14" s="213" t="s">
        <v>26</v>
      </c>
      <c r="M14" s="216" t="s">
        <v>27</v>
      </c>
      <c r="O14" s="217"/>
      <c r="P14" s="220"/>
      <c r="Q14" s="207"/>
      <c r="R14" s="208"/>
    </row>
    <row r="15" spans="1:18" s="204" customFormat="1" x14ac:dyDescent="0.25">
      <c r="A15" s="209"/>
      <c r="B15" s="210"/>
      <c r="C15" s="211"/>
      <c r="D15" s="210"/>
      <c r="E15" s="210"/>
      <c r="F15" s="210"/>
      <c r="G15" s="212"/>
      <c r="H15" s="213" t="s">
        <v>79</v>
      </c>
      <c r="I15" s="216" t="s">
        <v>28</v>
      </c>
      <c r="J15" s="212" t="s">
        <v>29</v>
      </c>
      <c r="K15" s="212" t="s">
        <v>30</v>
      </c>
      <c r="L15" s="213" t="s">
        <v>31</v>
      </c>
      <c r="M15" s="216" t="s">
        <v>32</v>
      </c>
      <c r="O15" s="217"/>
      <c r="P15" s="220"/>
      <c r="Q15" s="207"/>
      <c r="R15" s="219"/>
    </row>
    <row r="16" spans="1:18" s="204" customFormat="1" ht="9.75" customHeight="1" x14ac:dyDescent="0.25">
      <c r="A16" s="209"/>
      <c r="B16" s="210"/>
      <c r="C16" s="211"/>
      <c r="D16" s="210"/>
      <c r="E16" s="210"/>
      <c r="F16" s="210"/>
      <c r="G16" s="212"/>
      <c r="H16" s="213"/>
      <c r="I16" s="216"/>
      <c r="J16" s="212" t="s">
        <v>33</v>
      </c>
      <c r="K16" s="216" t="s">
        <v>34</v>
      </c>
      <c r="L16" s="213" t="s">
        <v>35</v>
      </c>
      <c r="M16" s="216" t="s">
        <v>36</v>
      </c>
      <c r="O16" s="217"/>
      <c r="P16" s="220"/>
      <c r="Q16" s="207"/>
      <c r="R16" s="219"/>
    </row>
    <row r="17" spans="1:18" s="204" customFormat="1" ht="9.75" customHeight="1" x14ac:dyDescent="0.25">
      <c r="A17" s="221"/>
      <c r="B17" s="222"/>
      <c r="C17" s="223"/>
      <c r="D17" s="222"/>
      <c r="E17" s="222"/>
      <c r="F17" s="222"/>
      <c r="G17" s="224"/>
      <c r="H17" s="213"/>
      <c r="I17" s="225"/>
      <c r="J17" s="224"/>
      <c r="K17" s="224"/>
      <c r="L17" s="213"/>
      <c r="M17" s="216" t="s">
        <v>37</v>
      </c>
      <c r="O17" s="217"/>
      <c r="P17" s="220"/>
      <c r="Q17" s="207"/>
      <c r="R17" s="219"/>
    </row>
    <row r="18" spans="1:18" ht="10.5" customHeight="1" x14ac:dyDescent="0.25">
      <c r="A18" s="226">
        <v>1</v>
      </c>
      <c r="B18" s="226">
        <v>2</v>
      </c>
      <c r="C18" s="226"/>
      <c r="D18" s="226">
        <v>3</v>
      </c>
      <c r="E18" s="226"/>
      <c r="F18" s="226"/>
      <c r="G18" s="227">
        <v>4</v>
      </c>
      <c r="H18" s="228">
        <v>5</v>
      </c>
      <c r="I18" s="227">
        <v>6</v>
      </c>
      <c r="J18" s="227">
        <v>7</v>
      </c>
      <c r="K18" s="229">
        <v>8</v>
      </c>
      <c r="L18" s="227">
        <v>9</v>
      </c>
      <c r="M18" s="227">
        <v>10</v>
      </c>
      <c r="O18" s="59"/>
      <c r="P18" s="54"/>
      <c r="Q18" s="207"/>
      <c r="R18" s="219"/>
    </row>
    <row r="19" spans="1:18" s="64" customFormat="1" ht="40.5" customHeight="1" x14ac:dyDescent="0.25">
      <c r="A19" s="549"/>
      <c r="B19" s="549"/>
      <c r="C19" s="278"/>
      <c r="D19" s="549" t="s">
        <v>38</v>
      </c>
      <c r="E19" s="550">
        <v>14504121.620000001</v>
      </c>
      <c r="F19" s="550">
        <v>12887868.09</v>
      </c>
      <c r="G19" s="550">
        <v>879702525.72000015</v>
      </c>
      <c r="H19" s="550">
        <v>425313356.16999996</v>
      </c>
      <c r="I19" s="550">
        <v>154309854.16999999</v>
      </c>
      <c r="J19" s="550">
        <v>125164406.07999998</v>
      </c>
      <c r="K19" s="550">
        <v>145839095.91999999</v>
      </c>
      <c r="L19" s="550">
        <v>0</v>
      </c>
      <c r="M19" s="235" t="s">
        <v>39</v>
      </c>
      <c r="O19" s="551"/>
      <c r="P19" s="191"/>
      <c r="Q19" s="230">
        <v>21319731.82</v>
      </c>
      <c r="R19" s="219"/>
    </row>
    <row r="20" spans="1:18" s="64" customFormat="1" ht="40.5" customHeight="1" x14ac:dyDescent="0.25">
      <c r="A20" s="231">
        <v>600</v>
      </c>
      <c r="B20" s="552"/>
      <c r="C20" s="553"/>
      <c r="D20" s="232" t="s">
        <v>80</v>
      </c>
      <c r="E20" s="233">
        <v>7765830.7999999998</v>
      </c>
      <c r="F20" s="233">
        <v>7204818.0899999999</v>
      </c>
      <c r="G20" s="233">
        <v>359977621.50999999</v>
      </c>
      <c r="H20" s="233">
        <v>202439137.75999999</v>
      </c>
      <c r="I20" s="233">
        <v>54223986.519999996</v>
      </c>
      <c r="J20" s="233">
        <v>56267885.189999998</v>
      </c>
      <c r="K20" s="233">
        <v>91947266.049999997</v>
      </c>
      <c r="L20" s="233">
        <v>0</v>
      </c>
      <c r="M20" s="235"/>
      <c r="O20" s="551"/>
      <c r="P20" s="191"/>
      <c r="Q20" s="230"/>
      <c r="R20" s="219"/>
    </row>
    <row r="21" spans="1:18" s="64" customFormat="1" ht="40.5" customHeight="1" x14ac:dyDescent="0.25">
      <c r="A21" s="231"/>
      <c r="B21" s="231">
        <v>60004</v>
      </c>
      <c r="C21" s="234"/>
      <c r="D21" s="232" t="s">
        <v>85</v>
      </c>
      <c r="E21" s="233">
        <v>4988830.8</v>
      </c>
      <c r="F21" s="233">
        <v>0</v>
      </c>
      <c r="G21" s="233">
        <v>106112653.83999999</v>
      </c>
      <c r="H21" s="233">
        <v>89423718.469999999</v>
      </c>
      <c r="I21" s="233">
        <v>22880305.899999999</v>
      </c>
      <c r="J21" s="233">
        <v>349072.11</v>
      </c>
      <c r="K21" s="233">
        <v>66194340.460000001</v>
      </c>
      <c r="L21" s="233">
        <v>0</v>
      </c>
      <c r="M21" s="235"/>
      <c r="O21" s="551"/>
      <c r="P21" s="191"/>
      <c r="Q21" s="230"/>
      <c r="R21" s="219"/>
    </row>
    <row r="22" spans="1:18" s="64" customFormat="1" ht="40.5" customHeight="1" x14ac:dyDescent="0.25">
      <c r="A22" s="231"/>
      <c r="B22" s="231"/>
      <c r="C22" s="234" t="s">
        <v>202</v>
      </c>
      <c r="D22" s="236" t="s">
        <v>203</v>
      </c>
      <c r="E22" s="237">
        <v>4988830.8</v>
      </c>
      <c r="F22" s="236"/>
      <c r="G22" s="238">
        <v>59030602.799999997</v>
      </c>
      <c r="H22" s="238">
        <v>57632830.799999997</v>
      </c>
      <c r="I22" s="238">
        <v>15851030.800000001</v>
      </c>
      <c r="J22" s="238"/>
      <c r="K22" s="238">
        <v>41781800</v>
      </c>
      <c r="L22" s="238"/>
      <c r="M22" s="554" t="s">
        <v>204</v>
      </c>
      <c r="N22" s="219" t="s">
        <v>205</v>
      </c>
      <c r="O22" s="551"/>
      <c r="P22" s="230" t="s">
        <v>206</v>
      </c>
      <c r="Q22" s="230"/>
      <c r="R22" s="219"/>
    </row>
    <row r="23" spans="1:18" s="64" customFormat="1" ht="40.5" customHeight="1" x14ac:dyDescent="0.25">
      <c r="A23" s="231"/>
      <c r="B23" s="231">
        <v>60015</v>
      </c>
      <c r="C23" s="234"/>
      <c r="D23" s="232" t="s">
        <v>77</v>
      </c>
      <c r="E23" s="233">
        <v>0</v>
      </c>
      <c r="F23" s="233">
        <v>4397818.09</v>
      </c>
      <c r="G23" s="233">
        <v>186222853.75</v>
      </c>
      <c r="H23" s="233">
        <v>78537280.810000002</v>
      </c>
      <c r="I23" s="233">
        <v>20007166.84</v>
      </c>
      <c r="J23" s="233">
        <v>45967578.409999996</v>
      </c>
      <c r="K23" s="233">
        <v>12562535.560000001</v>
      </c>
      <c r="L23" s="233">
        <v>0</v>
      </c>
      <c r="M23" s="235"/>
      <c r="N23" s="58"/>
      <c r="O23" s="58"/>
      <c r="P23" s="219"/>
      <c r="Q23" s="230"/>
      <c r="R23" s="219"/>
    </row>
    <row r="24" spans="1:18" s="64" customFormat="1" ht="40.5" customHeight="1" x14ac:dyDescent="0.25">
      <c r="A24" s="231"/>
      <c r="B24" s="231"/>
      <c r="C24" s="234">
        <v>6050</v>
      </c>
      <c r="D24" s="236" t="s">
        <v>207</v>
      </c>
      <c r="E24" s="236"/>
      <c r="F24" s="237">
        <v>3000000</v>
      </c>
      <c r="G24" s="238">
        <v>104733653.84999999</v>
      </c>
      <c r="H24" s="238">
        <v>12000000</v>
      </c>
      <c r="I24" s="238">
        <v>0</v>
      </c>
      <c r="J24" s="238">
        <v>12000000</v>
      </c>
      <c r="K24" s="238"/>
      <c r="L24" s="238"/>
      <c r="M24" s="555" t="s">
        <v>81</v>
      </c>
      <c r="N24" s="219" t="s">
        <v>208</v>
      </c>
      <c r="O24" s="58"/>
      <c r="P24" s="219"/>
      <c r="Q24" s="230"/>
      <c r="R24" s="219"/>
    </row>
    <row r="25" spans="1:18" s="64" customFormat="1" ht="40.5" customHeight="1" x14ac:dyDescent="0.25">
      <c r="A25" s="231"/>
      <c r="B25" s="231"/>
      <c r="C25" s="234" t="s">
        <v>88</v>
      </c>
      <c r="D25" s="236" t="s">
        <v>89</v>
      </c>
      <c r="E25" s="237"/>
      <c r="F25" s="237">
        <v>827818.09</v>
      </c>
      <c r="G25" s="238">
        <v>15430300.540000001</v>
      </c>
      <c r="H25" s="238">
        <v>15430300.540000001</v>
      </c>
      <c r="I25" s="238">
        <v>3292764.98</v>
      </c>
      <c r="J25" s="238"/>
      <c r="K25" s="238">
        <v>12137535.560000001</v>
      </c>
      <c r="L25" s="238"/>
      <c r="M25" s="555" t="s">
        <v>81</v>
      </c>
      <c r="N25" s="219" t="s">
        <v>209</v>
      </c>
      <c r="O25" s="58"/>
      <c r="P25" s="219" t="s">
        <v>90</v>
      </c>
      <c r="Q25" s="230"/>
      <c r="R25" s="219"/>
    </row>
    <row r="26" spans="1:18" s="64" customFormat="1" ht="40.5" customHeight="1" x14ac:dyDescent="0.25">
      <c r="A26" s="231"/>
      <c r="B26" s="239"/>
      <c r="C26" s="226">
        <v>6050</v>
      </c>
      <c r="D26" s="240" t="s">
        <v>210</v>
      </c>
      <c r="E26" s="241"/>
      <c r="F26" s="242">
        <v>570000</v>
      </c>
      <c r="G26" s="243">
        <v>3071823.44</v>
      </c>
      <c r="H26" s="243">
        <v>3071823.44</v>
      </c>
      <c r="I26" s="243">
        <v>3071823.44</v>
      </c>
      <c r="J26" s="243"/>
      <c r="K26" s="243"/>
      <c r="L26" s="244"/>
      <c r="M26" s="282" t="s">
        <v>81</v>
      </c>
      <c r="N26" s="58"/>
      <c r="O26" s="58"/>
      <c r="P26" s="219"/>
      <c r="Q26" s="230"/>
      <c r="R26" s="219"/>
    </row>
    <row r="27" spans="1:18" s="64" customFormat="1" ht="40.5" customHeight="1" x14ac:dyDescent="0.25">
      <c r="A27" s="231"/>
      <c r="B27" s="239">
        <v>60016</v>
      </c>
      <c r="C27" s="239"/>
      <c r="D27" s="245" t="s">
        <v>86</v>
      </c>
      <c r="E27" s="246">
        <v>2777000</v>
      </c>
      <c r="F27" s="246">
        <v>2307000</v>
      </c>
      <c r="G27" s="246">
        <v>67142113.920000002</v>
      </c>
      <c r="H27" s="246">
        <v>33978138.480000004</v>
      </c>
      <c r="I27" s="246">
        <v>10836513.779999999</v>
      </c>
      <c r="J27" s="246">
        <v>9951234.6700000018</v>
      </c>
      <c r="K27" s="246">
        <v>13190390.029999999</v>
      </c>
      <c r="L27" s="246">
        <v>0</v>
      </c>
      <c r="M27" s="555"/>
      <c r="N27" s="58"/>
      <c r="O27" s="58"/>
      <c r="P27" s="219"/>
      <c r="Q27" s="58"/>
      <c r="R27" s="219"/>
    </row>
    <row r="28" spans="1:18" s="64" customFormat="1" ht="40.5" customHeight="1" x14ac:dyDescent="0.25">
      <c r="A28" s="231"/>
      <c r="B28" s="247"/>
      <c r="C28" s="248">
        <v>6050</v>
      </c>
      <c r="D28" s="236" t="s">
        <v>211</v>
      </c>
      <c r="E28" s="237">
        <v>2777000</v>
      </c>
      <c r="F28" s="236"/>
      <c r="G28" s="43">
        <v>9036000</v>
      </c>
      <c r="H28" s="237">
        <v>4005472.61</v>
      </c>
      <c r="I28" s="43">
        <v>3377000</v>
      </c>
      <c r="J28" s="43">
        <v>628472.61</v>
      </c>
      <c r="K28" s="43"/>
      <c r="L28" s="249"/>
      <c r="M28" s="555" t="s">
        <v>81</v>
      </c>
      <c r="N28" s="219" t="s">
        <v>212</v>
      </c>
      <c r="O28" s="58"/>
      <c r="P28" s="58"/>
      <c r="Q28" s="58"/>
      <c r="R28" s="219"/>
    </row>
    <row r="29" spans="1:18" s="64" customFormat="1" ht="40.5" customHeight="1" x14ac:dyDescent="0.25">
      <c r="A29" s="231"/>
      <c r="B29" s="247"/>
      <c r="C29" s="248">
        <v>6050</v>
      </c>
      <c r="D29" s="236" t="s">
        <v>213</v>
      </c>
      <c r="E29" s="236"/>
      <c r="F29" s="237">
        <v>57000</v>
      </c>
      <c r="G29" s="43">
        <v>93000</v>
      </c>
      <c r="H29" s="237">
        <v>93000</v>
      </c>
      <c r="I29" s="43">
        <v>93000</v>
      </c>
      <c r="J29" s="43"/>
      <c r="K29" s="43"/>
      <c r="L29" s="249"/>
      <c r="M29" s="555" t="s">
        <v>81</v>
      </c>
      <c r="N29" s="219" t="s">
        <v>209</v>
      </c>
      <c r="O29" s="58"/>
      <c r="P29" s="58"/>
      <c r="Q29" s="58"/>
      <c r="R29" s="219"/>
    </row>
    <row r="30" spans="1:18" s="64" customFormat="1" ht="40.5" customHeight="1" x14ac:dyDescent="0.25">
      <c r="A30" s="231"/>
      <c r="B30" s="250"/>
      <c r="C30" s="251">
        <v>6050</v>
      </c>
      <c r="D30" s="236" t="s">
        <v>91</v>
      </c>
      <c r="E30" s="236"/>
      <c r="F30" s="237">
        <v>1100000</v>
      </c>
      <c r="G30" s="243">
        <v>3488724.84</v>
      </c>
      <c r="H30" s="237">
        <v>3488724.84</v>
      </c>
      <c r="I30" s="243">
        <v>488724.84000000008</v>
      </c>
      <c r="J30" s="244">
        <v>3000000</v>
      </c>
      <c r="K30" s="252"/>
      <c r="L30" s="252"/>
      <c r="M30" s="555" t="s">
        <v>81</v>
      </c>
      <c r="N30" s="219" t="s">
        <v>209</v>
      </c>
      <c r="O30" s="58"/>
      <c r="P30" s="219" t="s">
        <v>92</v>
      </c>
      <c r="Q30" s="58"/>
      <c r="R30" s="219"/>
    </row>
    <row r="31" spans="1:18" s="64" customFormat="1" ht="40.5" customHeight="1" x14ac:dyDescent="0.25">
      <c r="A31" s="231"/>
      <c r="B31" s="247"/>
      <c r="C31" s="226">
        <v>6050</v>
      </c>
      <c r="D31" s="240" t="s">
        <v>93</v>
      </c>
      <c r="E31" s="240"/>
      <c r="F31" s="253">
        <v>1150000</v>
      </c>
      <c r="G31" s="243">
        <v>2577248.19</v>
      </c>
      <c r="H31" s="243">
        <v>2577248.19</v>
      </c>
      <c r="I31" s="243">
        <v>2577248.19</v>
      </c>
      <c r="J31" s="244"/>
      <c r="K31" s="244"/>
      <c r="L31" s="244"/>
      <c r="M31" s="556" t="s">
        <v>81</v>
      </c>
      <c r="N31" s="219"/>
      <c r="O31" s="58"/>
      <c r="P31" s="219"/>
      <c r="Q31" s="58"/>
      <c r="R31" s="219"/>
    </row>
    <row r="32" spans="1:18" s="64" customFormat="1" ht="40.5" customHeight="1" x14ac:dyDescent="0.25">
      <c r="A32" s="231"/>
      <c r="B32" s="247">
        <v>60017</v>
      </c>
      <c r="C32" s="226"/>
      <c r="D32" s="232" t="s">
        <v>147</v>
      </c>
      <c r="E32" s="254">
        <v>0</v>
      </c>
      <c r="F32" s="255">
        <v>500000</v>
      </c>
      <c r="G32" s="255">
        <v>500000</v>
      </c>
      <c r="H32" s="255">
        <v>500000</v>
      </c>
      <c r="I32" s="255">
        <v>500000</v>
      </c>
      <c r="J32" s="254">
        <v>0</v>
      </c>
      <c r="K32" s="254">
        <v>0</v>
      </c>
      <c r="L32" s="254">
        <v>0</v>
      </c>
      <c r="M32" s="557"/>
      <c r="N32" s="219"/>
      <c r="O32" s="58"/>
      <c r="P32" s="219"/>
      <c r="Q32" s="58"/>
      <c r="R32" s="219"/>
    </row>
    <row r="33" spans="1:18" s="64" customFormat="1" ht="40.5" customHeight="1" x14ac:dyDescent="0.25">
      <c r="A33" s="231"/>
      <c r="B33" s="247"/>
      <c r="C33" s="226">
        <v>6050</v>
      </c>
      <c r="D33" s="236" t="s">
        <v>214</v>
      </c>
      <c r="E33" s="236"/>
      <c r="F33" s="237">
        <v>500000</v>
      </c>
      <c r="G33" s="244">
        <v>500000</v>
      </c>
      <c r="H33" s="244">
        <v>500000</v>
      </c>
      <c r="I33" s="244">
        <v>500000</v>
      </c>
      <c r="J33" s="244"/>
      <c r="K33" s="244"/>
      <c r="L33" s="244"/>
      <c r="M33" s="556" t="s">
        <v>81</v>
      </c>
      <c r="N33" s="219"/>
      <c r="O33" s="58"/>
      <c r="P33" s="219"/>
      <c r="Q33" s="58"/>
      <c r="R33" s="219"/>
    </row>
    <row r="34" spans="1:18" ht="40.5" customHeight="1" x14ac:dyDescent="0.25">
      <c r="A34" s="247">
        <v>700</v>
      </c>
      <c r="B34" s="247"/>
      <c r="C34" s="226"/>
      <c r="D34" s="232" t="s">
        <v>215</v>
      </c>
      <c r="E34" s="256">
        <v>564852.82000000007</v>
      </c>
      <c r="F34" s="256">
        <v>0</v>
      </c>
      <c r="G34" s="256">
        <v>261612519.96999997</v>
      </c>
      <c r="H34" s="256">
        <v>101673599.26000001</v>
      </c>
      <c r="I34" s="256">
        <v>36232350.200000003</v>
      </c>
      <c r="J34" s="256">
        <v>48701018.57</v>
      </c>
      <c r="K34" s="256">
        <v>16740230.49</v>
      </c>
      <c r="L34" s="256">
        <v>0</v>
      </c>
      <c r="M34" s="555"/>
      <c r="P34" s="218"/>
    </row>
    <row r="35" spans="1:18" ht="40.5" customHeight="1" x14ac:dyDescent="0.25">
      <c r="A35" s="247"/>
      <c r="B35" s="247">
        <v>70007</v>
      </c>
      <c r="C35" s="226"/>
      <c r="D35" s="232" t="s">
        <v>216</v>
      </c>
      <c r="E35" s="256">
        <v>164852.82</v>
      </c>
      <c r="F35" s="256">
        <v>0</v>
      </c>
      <c r="G35" s="256">
        <v>22489676.940000001</v>
      </c>
      <c r="H35" s="256">
        <v>22289676.940000001</v>
      </c>
      <c r="I35" s="256">
        <v>13853208</v>
      </c>
      <c r="J35" s="256">
        <v>7515021.0800000001</v>
      </c>
      <c r="K35" s="256">
        <v>921447.86</v>
      </c>
      <c r="L35" s="256">
        <v>0</v>
      </c>
      <c r="M35" s="282"/>
      <c r="P35" s="218"/>
    </row>
    <row r="36" spans="1:18" ht="40.5" customHeight="1" x14ac:dyDescent="0.25">
      <c r="A36" s="247"/>
      <c r="B36" s="247"/>
      <c r="C36" s="226">
        <v>6050</v>
      </c>
      <c r="D36" s="236" t="s">
        <v>217</v>
      </c>
      <c r="E36" s="237">
        <v>164852.82</v>
      </c>
      <c r="F36" s="236"/>
      <c r="G36" s="243">
        <v>17109731.82</v>
      </c>
      <c r="H36" s="243">
        <v>17109731.82</v>
      </c>
      <c r="I36" s="243">
        <v>10050000</v>
      </c>
      <c r="J36" s="243">
        <v>7059731.8200000003</v>
      </c>
      <c r="K36" s="243"/>
      <c r="L36" s="243"/>
      <c r="M36" s="282" t="s">
        <v>151</v>
      </c>
      <c r="N36" s="219"/>
      <c r="P36" s="218" t="s">
        <v>218</v>
      </c>
    </row>
    <row r="37" spans="1:18" ht="40.5" customHeight="1" x14ac:dyDescent="0.25">
      <c r="A37" s="247"/>
      <c r="B37" s="247">
        <v>70095</v>
      </c>
      <c r="C37" s="226"/>
      <c r="D37" s="232" t="s">
        <v>140</v>
      </c>
      <c r="E37" s="256">
        <v>400000</v>
      </c>
      <c r="F37" s="256">
        <v>0</v>
      </c>
      <c r="G37" s="256">
        <v>152473169.38999999</v>
      </c>
      <c r="H37" s="256">
        <v>63956522.32</v>
      </c>
      <c r="I37" s="256">
        <v>13974088.359999999</v>
      </c>
      <c r="J37" s="256">
        <v>41185997.490000002</v>
      </c>
      <c r="K37" s="256">
        <v>8796436.4700000007</v>
      </c>
      <c r="L37" s="256">
        <v>0</v>
      </c>
      <c r="M37" s="555"/>
      <c r="P37" s="218"/>
    </row>
    <row r="38" spans="1:18" ht="40.5" customHeight="1" x14ac:dyDescent="0.25">
      <c r="A38" s="247"/>
      <c r="B38" s="247"/>
      <c r="C38" s="248">
        <v>6050</v>
      </c>
      <c r="D38" s="257" t="s">
        <v>219</v>
      </c>
      <c r="E38" s="258">
        <v>400000</v>
      </c>
      <c r="F38" s="259"/>
      <c r="G38" s="260">
        <v>20650386</v>
      </c>
      <c r="H38" s="260">
        <v>4320000</v>
      </c>
      <c r="I38" s="260">
        <v>4320000</v>
      </c>
      <c r="J38" s="260"/>
      <c r="K38" s="260"/>
      <c r="L38" s="261"/>
      <c r="M38" s="555" t="s">
        <v>220</v>
      </c>
      <c r="N38" s="219" t="s">
        <v>221</v>
      </c>
      <c r="P38" s="218"/>
    </row>
    <row r="39" spans="1:18" ht="40.5" customHeight="1" x14ac:dyDescent="0.25">
      <c r="A39" s="247">
        <v>750</v>
      </c>
      <c r="B39" s="247"/>
      <c r="C39" s="226"/>
      <c r="D39" s="232" t="s">
        <v>222</v>
      </c>
      <c r="E39" s="256">
        <v>1111000</v>
      </c>
      <c r="F39" s="256">
        <v>500000</v>
      </c>
      <c r="G39" s="256">
        <v>94540739.590000004</v>
      </c>
      <c r="H39" s="256">
        <v>39153822.740000002</v>
      </c>
      <c r="I39" s="256">
        <v>22401924.310000002</v>
      </c>
      <c r="J39" s="256">
        <v>270474.48</v>
      </c>
      <c r="K39" s="256">
        <v>16481423.949999999</v>
      </c>
      <c r="L39" s="256">
        <v>0</v>
      </c>
      <c r="M39" s="555"/>
      <c r="P39" s="218"/>
    </row>
    <row r="40" spans="1:18" ht="40.5" customHeight="1" x14ac:dyDescent="0.25">
      <c r="A40" s="247"/>
      <c r="B40" s="247">
        <v>75095</v>
      </c>
      <c r="C40" s="197"/>
      <c r="D40" s="262" t="s">
        <v>140</v>
      </c>
      <c r="E40" s="263">
        <v>1111000</v>
      </c>
      <c r="F40" s="263">
        <v>500000</v>
      </c>
      <c r="G40" s="263">
        <v>86838022.590000004</v>
      </c>
      <c r="H40" s="263">
        <v>35558924.240000002</v>
      </c>
      <c r="I40" s="263">
        <v>21184726.640000001</v>
      </c>
      <c r="J40" s="263">
        <v>29100</v>
      </c>
      <c r="K40" s="263">
        <v>14345097.6</v>
      </c>
      <c r="L40" s="263">
        <v>0</v>
      </c>
      <c r="M40" s="558"/>
      <c r="P40" s="218"/>
    </row>
    <row r="41" spans="1:18" x14ac:dyDescent="0.25">
      <c r="A41" s="196"/>
      <c r="B41" s="196"/>
      <c r="C41" s="264"/>
      <c r="D41" s="559" t="s">
        <v>223</v>
      </c>
      <c r="E41" s="265"/>
      <c r="F41" s="266"/>
      <c r="G41" s="267"/>
      <c r="H41" s="267"/>
      <c r="I41" s="267"/>
      <c r="J41" s="268"/>
      <c r="K41" s="268"/>
      <c r="L41" s="268"/>
      <c r="M41" s="560"/>
      <c r="N41" s="219"/>
      <c r="P41" s="218"/>
    </row>
    <row r="42" spans="1:18" ht="40.5" customHeight="1" x14ac:dyDescent="0.25">
      <c r="A42" s="221"/>
      <c r="B42" s="269" t="s">
        <v>224</v>
      </c>
      <c r="C42" s="269" t="s">
        <v>224</v>
      </c>
      <c r="D42" s="270" t="s">
        <v>225</v>
      </c>
      <c r="E42" s="271">
        <v>11000</v>
      </c>
      <c r="F42" s="271"/>
      <c r="G42" s="272">
        <v>11000</v>
      </c>
      <c r="H42" s="272">
        <v>11000</v>
      </c>
      <c r="I42" s="272">
        <v>11000</v>
      </c>
      <c r="J42" s="273"/>
      <c r="K42" s="273"/>
      <c r="L42" s="273"/>
      <c r="M42" s="561" t="s">
        <v>220</v>
      </c>
      <c r="N42" s="219"/>
      <c r="P42" s="218"/>
    </row>
    <row r="43" spans="1:18" ht="40.5" customHeight="1" x14ac:dyDescent="0.25">
      <c r="A43" s="221"/>
      <c r="B43" s="221"/>
      <c r="C43" s="234">
        <v>6050</v>
      </c>
      <c r="D43" s="274" t="s">
        <v>226</v>
      </c>
      <c r="E43" s="274"/>
      <c r="F43" s="275">
        <v>500000</v>
      </c>
      <c r="G43" s="273">
        <v>3323000</v>
      </c>
      <c r="H43" s="273">
        <v>500000</v>
      </c>
      <c r="I43" s="273">
        <v>500000</v>
      </c>
      <c r="J43" s="244"/>
      <c r="K43" s="273"/>
      <c r="L43" s="273"/>
      <c r="M43" s="562" t="s">
        <v>81</v>
      </c>
      <c r="N43" s="219" t="s">
        <v>205</v>
      </c>
    </row>
    <row r="44" spans="1:18" ht="40.5" customHeight="1" x14ac:dyDescent="0.25">
      <c r="A44" s="247"/>
      <c r="B44" s="247"/>
      <c r="C44" s="234" t="s">
        <v>227</v>
      </c>
      <c r="D44" s="276" t="s">
        <v>228</v>
      </c>
      <c r="E44" s="271">
        <v>1100000</v>
      </c>
      <c r="F44" s="276"/>
      <c r="G44" s="244">
        <v>33598886.920000002</v>
      </c>
      <c r="H44" s="244">
        <v>13997619.529999999</v>
      </c>
      <c r="I44" s="244">
        <v>8544043.6099999994</v>
      </c>
      <c r="J44" s="244"/>
      <c r="K44" s="244">
        <v>5453575.9199999999</v>
      </c>
      <c r="L44" s="244"/>
      <c r="M44" s="556" t="s">
        <v>81</v>
      </c>
      <c r="N44" s="219" t="s">
        <v>212</v>
      </c>
      <c r="P44" s="219" t="s">
        <v>229</v>
      </c>
    </row>
    <row r="45" spans="1:18" ht="40.5" customHeight="1" x14ac:dyDescent="0.25">
      <c r="A45" s="247">
        <v>801</v>
      </c>
      <c r="B45" s="247"/>
      <c r="C45" s="226"/>
      <c r="D45" s="277" t="s">
        <v>230</v>
      </c>
      <c r="E45" s="256">
        <v>0</v>
      </c>
      <c r="F45" s="256">
        <v>411000</v>
      </c>
      <c r="G45" s="256">
        <v>27564999.210000001</v>
      </c>
      <c r="H45" s="256">
        <v>12269000</v>
      </c>
      <c r="I45" s="256">
        <v>12269000</v>
      </c>
      <c r="J45" s="256">
        <v>0</v>
      </c>
      <c r="K45" s="256">
        <v>0</v>
      </c>
      <c r="L45" s="256">
        <v>0</v>
      </c>
      <c r="M45" s="555"/>
      <c r="P45" s="218"/>
    </row>
    <row r="46" spans="1:18" ht="40.5" customHeight="1" x14ac:dyDescent="0.25">
      <c r="A46" s="247"/>
      <c r="B46" s="247">
        <v>80195</v>
      </c>
      <c r="C46" s="226"/>
      <c r="D46" s="232" t="s">
        <v>140</v>
      </c>
      <c r="E46" s="256">
        <v>0</v>
      </c>
      <c r="F46" s="256">
        <v>411000</v>
      </c>
      <c r="G46" s="256">
        <v>3589000</v>
      </c>
      <c r="H46" s="256">
        <v>3589000</v>
      </c>
      <c r="I46" s="256">
        <v>3589000</v>
      </c>
      <c r="J46" s="256">
        <v>0</v>
      </c>
      <c r="K46" s="256">
        <v>0</v>
      </c>
      <c r="L46" s="256">
        <v>0</v>
      </c>
      <c r="M46" s="555"/>
      <c r="N46" s="219"/>
      <c r="P46" s="218"/>
    </row>
    <row r="47" spans="1:18" ht="40.5" customHeight="1" x14ac:dyDescent="0.25">
      <c r="A47" s="247"/>
      <c r="B47" s="247"/>
      <c r="C47" s="278">
        <v>6050</v>
      </c>
      <c r="D47" s="236" t="s">
        <v>231</v>
      </c>
      <c r="E47" s="236"/>
      <c r="F47" s="237">
        <v>250000</v>
      </c>
      <c r="G47" s="43">
        <v>250000</v>
      </c>
      <c r="H47" s="43">
        <v>250000</v>
      </c>
      <c r="I47" s="43">
        <v>250000</v>
      </c>
      <c r="J47" s="43"/>
      <c r="K47" s="43"/>
      <c r="L47" s="279"/>
      <c r="M47" s="558" t="s">
        <v>220</v>
      </c>
      <c r="N47" s="219"/>
      <c r="P47" s="218"/>
    </row>
    <row r="48" spans="1:18" ht="40.5" customHeight="1" x14ac:dyDescent="0.25">
      <c r="A48" s="247"/>
      <c r="B48" s="247"/>
      <c r="C48" s="264">
        <v>6050</v>
      </c>
      <c r="D48" s="265" t="s">
        <v>232</v>
      </c>
      <c r="E48" s="265"/>
      <c r="F48" s="266">
        <v>161000</v>
      </c>
      <c r="G48" s="280">
        <v>339000</v>
      </c>
      <c r="H48" s="43">
        <v>339000</v>
      </c>
      <c r="I48" s="280">
        <v>339000</v>
      </c>
      <c r="J48" s="280"/>
      <c r="K48" s="280"/>
      <c r="L48" s="279"/>
      <c r="M48" s="558" t="s">
        <v>220</v>
      </c>
      <c r="N48" s="219"/>
      <c r="P48" s="218"/>
    </row>
    <row r="49" spans="1:16" ht="40.5" customHeight="1" x14ac:dyDescent="0.25">
      <c r="A49" s="247">
        <v>851</v>
      </c>
      <c r="B49" s="247"/>
      <c r="C49" s="264"/>
      <c r="D49" s="262" t="s">
        <v>233</v>
      </c>
      <c r="E49" s="281">
        <v>4597050</v>
      </c>
      <c r="F49" s="281">
        <v>4597050</v>
      </c>
      <c r="G49" s="281">
        <v>4597050</v>
      </c>
      <c r="H49" s="281">
        <v>4597050</v>
      </c>
      <c r="I49" s="281">
        <v>0</v>
      </c>
      <c r="J49" s="281">
        <v>689557.5</v>
      </c>
      <c r="K49" s="281">
        <v>3907492.5</v>
      </c>
      <c r="L49" s="281">
        <v>0</v>
      </c>
      <c r="M49" s="558"/>
      <c r="N49" s="219"/>
      <c r="P49" s="218"/>
    </row>
    <row r="50" spans="1:16" ht="40.5" customHeight="1" x14ac:dyDescent="0.25">
      <c r="A50" s="247"/>
      <c r="B50" s="247">
        <v>85195</v>
      </c>
      <c r="C50" s="264"/>
      <c r="D50" s="262" t="s">
        <v>140</v>
      </c>
      <c r="E50" s="281">
        <v>4597050</v>
      </c>
      <c r="F50" s="281">
        <v>4597050</v>
      </c>
      <c r="G50" s="281">
        <v>4597050</v>
      </c>
      <c r="H50" s="281">
        <v>4597050</v>
      </c>
      <c r="I50" s="281">
        <v>0</v>
      </c>
      <c r="J50" s="281">
        <v>689557.5</v>
      </c>
      <c r="K50" s="281">
        <v>3907492.5</v>
      </c>
      <c r="L50" s="281">
        <v>0</v>
      </c>
      <c r="M50" s="558"/>
      <c r="N50" s="219"/>
      <c r="P50" s="218"/>
    </row>
    <row r="51" spans="1:16" x14ac:dyDescent="0.25">
      <c r="A51" s="196"/>
      <c r="B51" s="196"/>
      <c r="C51" s="282"/>
      <c r="D51" s="563" t="s">
        <v>234</v>
      </c>
      <c r="E51" s="265"/>
      <c r="F51" s="265"/>
      <c r="G51" s="280"/>
      <c r="H51" s="280"/>
      <c r="I51" s="280"/>
      <c r="J51" s="280"/>
      <c r="K51" s="280"/>
      <c r="L51" s="283"/>
      <c r="M51" s="558"/>
      <c r="N51" s="219"/>
      <c r="P51" s="218"/>
    </row>
    <row r="52" spans="1:16" ht="40.5" customHeight="1" x14ac:dyDescent="0.25">
      <c r="A52" s="221"/>
      <c r="B52" s="284"/>
      <c r="C52" s="278" t="s">
        <v>235</v>
      </c>
      <c r="D52" s="285" t="s">
        <v>236</v>
      </c>
      <c r="E52" s="286"/>
      <c r="F52" s="286">
        <v>4597050</v>
      </c>
      <c r="G52" s="286">
        <v>0</v>
      </c>
      <c r="H52" s="287">
        <v>0</v>
      </c>
      <c r="I52" s="288"/>
      <c r="J52" s="288">
        <v>0</v>
      </c>
      <c r="K52" s="288">
        <v>0</v>
      </c>
      <c r="L52" s="289"/>
      <c r="M52" s="564" t="s">
        <v>237</v>
      </c>
      <c r="N52" s="219"/>
      <c r="P52" s="218"/>
    </row>
    <row r="53" spans="1:16" x14ac:dyDescent="0.25">
      <c r="A53" s="196"/>
      <c r="B53" s="196"/>
      <c r="C53" s="282"/>
      <c r="D53" s="563" t="s">
        <v>238</v>
      </c>
      <c r="E53" s="265"/>
      <c r="F53" s="265"/>
      <c r="G53" s="280"/>
      <c r="H53" s="280"/>
      <c r="I53" s="280"/>
      <c r="J53" s="280"/>
      <c r="K53" s="280"/>
      <c r="L53" s="283"/>
      <c r="M53" s="558"/>
      <c r="N53" s="219"/>
      <c r="P53" s="218"/>
    </row>
    <row r="54" spans="1:16" ht="40.5" customHeight="1" x14ac:dyDescent="0.25">
      <c r="A54" s="221"/>
      <c r="B54" s="290"/>
      <c r="C54" s="215" t="s">
        <v>235</v>
      </c>
      <c r="D54" s="285" t="s">
        <v>239</v>
      </c>
      <c r="E54" s="286">
        <v>4597050</v>
      </c>
      <c r="F54" s="291"/>
      <c r="G54" s="286">
        <v>4597050</v>
      </c>
      <c r="H54" s="287">
        <v>4597050</v>
      </c>
      <c r="I54" s="288"/>
      <c r="J54" s="288">
        <v>689557.5</v>
      </c>
      <c r="K54" s="288">
        <v>3907492.5</v>
      </c>
      <c r="L54" s="289"/>
      <c r="M54" s="564" t="s">
        <v>237</v>
      </c>
      <c r="N54" s="219"/>
      <c r="P54" s="218"/>
    </row>
    <row r="55" spans="1:16" ht="40.5" customHeight="1" x14ac:dyDescent="0.25">
      <c r="A55" s="247">
        <v>852</v>
      </c>
      <c r="B55" s="247"/>
      <c r="C55" s="226"/>
      <c r="D55" s="292" t="s">
        <v>240</v>
      </c>
      <c r="E55" s="255">
        <v>70000</v>
      </c>
      <c r="F55" s="255">
        <v>70000</v>
      </c>
      <c r="G55" s="293">
        <v>812392</v>
      </c>
      <c r="H55" s="293">
        <v>812392</v>
      </c>
      <c r="I55" s="293">
        <v>812392</v>
      </c>
      <c r="J55" s="254">
        <v>0</v>
      </c>
      <c r="K55" s="254">
        <v>0</v>
      </c>
      <c r="L55" s="254">
        <v>0</v>
      </c>
      <c r="M55" s="565"/>
      <c r="N55" s="219"/>
      <c r="P55" s="218"/>
    </row>
    <row r="56" spans="1:16" ht="40.5" customHeight="1" x14ac:dyDescent="0.25">
      <c r="A56" s="247"/>
      <c r="B56" s="196">
        <v>85202</v>
      </c>
      <c r="C56" s="196"/>
      <c r="D56" s="277" t="s">
        <v>166</v>
      </c>
      <c r="E56" s="255">
        <v>70000</v>
      </c>
      <c r="F56" s="255">
        <v>70000</v>
      </c>
      <c r="G56" s="255">
        <v>742360</v>
      </c>
      <c r="H56" s="255">
        <v>742360</v>
      </c>
      <c r="I56" s="255">
        <v>742360</v>
      </c>
      <c r="J56" s="254">
        <v>0</v>
      </c>
      <c r="K56" s="254">
        <v>0</v>
      </c>
      <c r="L56" s="254">
        <v>0</v>
      </c>
      <c r="M56" s="556"/>
      <c r="N56" s="219"/>
      <c r="P56" s="218"/>
    </row>
    <row r="57" spans="1:16" ht="40.5" customHeight="1" x14ac:dyDescent="0.25">
      <c r="A57" s="247"/>
      <c r="B57" s="247"/>
      <c r="C57" s="226">
        <v>6060</v>
      </c>
      <c r="D57" s="236" t="s">
        <v>241</v>
      </c>
      <c r="E57" s="236"/>
      <c r="F57" s="237">
        <v>70000</v>
      </c>
      <c r="G57" s="294">
        <v>0</v>
      </c>
      <c r="H57" s="294">
        <v>0</v>
      </c>
      <c r="I57" s="294">
        <v>0</v>
      </c>
      <c r="J57" s="244"/>
      <c r="K57" s="244"/>
      <c r="L57" s="244"/>
      <c r="M57" s="282" t="s">
        <v>242</v>
      </c>
      <c r="N57" s="219"/>
      <c r="P57" s="218"/>
    </row>
    <row r="58" spans="1:16" x14ac:dyDescent="0.25">
      <c r="A58" s="196"/>
      <c r="B58" s="196"/>
      <c r="C58" s="264"/>
      <c r="D58" s="559" t="s">
        <v>223</v>
      </c>
      <c r="E58" s="265"/>
      <c r="F58" s="266"/>
      <c r="G58" s="267"/>
      <c r="H58" s="267"/>
      <c r="I58" s="267"/>
      <c r="J58" s="268"/>
      <c r="K58" s="268"/>
      <c r="L58" s="268"/>
      <c r="M58" s="560"/>
      <c r="N58" s="219"/>
      <c r="P58" s="218"/>
    </row>
    <row r="59" spans="1:16" ht="40.5" customHeight="1" x14ac:dyDescent="0.25">
      <c r="A59" s="221"/>
      <c r="B59" s="269" t="s">
        <v>243</v>
      </c>
      <c r="C59" s="284"/>
      <c r="D59" s="295" t="s">
        <v>244</v>
      </c>
      <c r="E59" s="271">
        <v>70000</v>
      </c>
      <c r="F59" s="271"/>
      <c r="G59" s="272">
        <v>70000</v>
      </c>
      <c r="H59" s="272">
        <v>70000</v>
      </c>
      <c r="I59" s="272">
        <v>70000</v>
      </c>
      <c r="J59" s="273"/>
      <c r="K59" s="273"/>
      <c r="L59" s="273"/>
      <c r="M59" s="566" t="s">
        <v>242</v>
      </c>
      <c r="N59" s="219"/>
      <c r="P59" s="218"/>
    </row>
    <row r="60" spans="1:16" ht="40.5" customHeight="1" x14ac:dyDescent="0.25">
      <c r="A60" s="247">
        <v>854</v>
      </c>
      <c r="B60" s="247"/>
      <c r="C60" s="278"/>
      <c r="D60" s="232" t="s">
        <v>245</v>
      </c>
      <c r="E60" s="296">
        <v>100000</v>
      </c>
      <c r="F60" s="296">
        <v>100000</v>
      </c>
      <c r="G60" s="296">
        <v>26543943.48</v>
      </c>
      <c r="H60" s="296">
        <v>13217000</v>
      </c>
      <c r="I60" s="296">
        <v>6174910.5499999998</v>
      </c>
      <c r="J60" s="296">
        <v>1056313.42</v>
      </c>
      <c r="K60" s="296">
        <v>5985776.0300000003</v>
      </c>
      <c r="L60" s="296">
        <v>0</v>
      </c>
      <c r="M60" s="555"/>
      <c r="N60" s="134"/>
      <c r="P60" s="218"/>
    </row>
    <row r="61" spans="1:16" ht="40.5" customHeight="1" x14ac:dyDescent="0.25">
      <c r="A61" s="247"/>
      <c r="B61" s="247">
        <v>85410</v>
      </c>
      <c r="C61" s="278"/>
      <c r="D61" s="232" t="s">
        <v>197</v>
      </c>
      <c r="E61" s="296">
        <v>100000</v>
      </c>
      <c r="F61" s="296">
        <v>100000</v>
      </c>
      <c r="G61" s="296">
        <v>25377000</v>
      </c>
      <c r="H61" s="296">
        <v>12167000</v>
      </c>
      <c r="I61" s="296">
        <v>5124910.55</v>
      </c>
      <c r="J61" s="296">
        <v>1056313.42</v>
      </c>
      <c r="K61" s="296">
        <v>5985776.0300000003</v>
      </c>
      <c r="L61" s="296">
        <v>0</v>
      </c>
      <c r="M61" s="555"/>
      <c r="N61" s="134"/>
      <c r="P61" s="218"/>
    </row>
    <row r="62" spans="1:16" ht="12.75" customHeight="1" x14ac:dyDescent="0.25">
      <c r="A62" s="196"/>
      <c r="B62" s="196"/>
      <c r="C62" s="282"/>
      <c r="D62" s="563" t="s">
        <v>234</v>
      </c>
      <c r="E62" s="265"/>
      <c r="F62" s="265"/>
      <c r="G62" s="280"/>
      <c r="H62" s="280"/>
      <c r="I62" s="280"/>
      <c r="J62" s="280"/>
      <c r="K62" s="280"/>
      <c r="L62" s="283"/>
      <c r="M62" s="558"/>
      <c r="N62" s="134"/>
      <c r="P62" s="218"/>
    </row>
    <row r="63" spans="1:16" ht="40.5" customHeight="1" x14ac:dyDescent="0.25">
      <c r="A63" s="221"/>
      <c r="B63" s="221"/>
      <c r="C63" s="226">
        <v>6050</v>
      </c>
      <c r="D63" s="297" t="s">
        <v>246</v>
      </c>
      <c r="E63" s="298"/>
      <c r="F63" s="299">
        <v>100000</v>
      </c>
      <c r="G63" s="300">
        <v>0</v>
      </c>
      <c r="H63" s="300">
        <v>0</v>
      </c>
      <c r="I63" s="300">
        <v>0</v>
      </c>
      <c r="J63" s="300"/>
      <c r="K63" s="300"/>
      <c r="L63" s="300"/>
      <c r="M63" s="561" t="s">
        <v>220</v>
      </c>
      <c r="N63" s="134"/>
      <c r="P63" s="218"/>
    </row>
    <row r="64" spans="1:16" x14ac:dyDescent="0.25">
      <c r="A64" s="196"/>
      <c r="B64" s="196"/>
      <c r="C64" s="226"/>
      <c r="D64" s="563" t="s">
        <v>238</v>
      </c>
      <c r="E64" s="301"/>
      <c r="F64" s="301"/>
      <c r="G64" s="279"/>
      <c r="H64" s="279"/>
      <c r="I64" s="279"/>
      <c r="J64" s="279"/>
      <c r="K64" s="279"/>
      <c r="L64" s="279"/>
      <c r="M64" s="558"/>
      <c r="N64" s="134"/>
      <c r="P64" s="218"/>
    </row>
    <row r="65" spans="1:16" ht="40.5" customHeight="1" x14ac:dyDescent="0.25">
      <c r="A65" s="221"/>
      <c r="B65" s="221"/>
      <c r="C65" s="226">
        <v>6050</v>
      </c>
      <c r="D65" s="297" t="s">
        <v>247</v>
      </c>
      <c r="E65" s="302">
        <v>100000</v>
      </c>
      <c r="F65" s="297"/>
      <c r="G65" s="300">
        <v>100000</v>
      </c>
      <c r="H65" s="300">
        <v>100000</v>
      </c>
      <c r="I65" s="300">
        <v>100000</v>
      </c>
      <c r="J65" s="300"/>
      <c r="K65" s="300"/>
      <c r="L65" s="300"/>
      <c r="M65" s="561" t="s">
        <v>220</v>
      </c>
      <c r="N65" s="134"/>
      <c r="P65" s="218"/>
    </row>
    <row r="66" spans="1:16" ht="40.5" customHeight="1" x14ac:dyDescent="0.25">
      <c r="A66" s="247">
        <v>855</v>
      </c>
      <c r="B66" s="247"/>
      <c r="C66" s="282"/>
      <c r="D66" s="232" t="s">
        <v>126</v>
      </c>
      <c r="E66" s="296">
        <v>290388</v>
      </c>
      <c r="F66" s="296">
        <v>0</v>
      </c>
      <c r="G66" s="296">
        <v>4944308</v>
      </c>
      <c r="H66" s="296">
        <v>2439388</v>
      </c>
      <c r="I66" s="296">
        <v>2164388</v>
      </c>
      <c r="J66" s="296">
        <v>275000</v>
      </c>
      <c r="K66" s="296">
        <v>0</v>
      </c>
      <c r="L66" s="296">
        <v>0</v>
      </c>
      <c r="M66" s="235"/>
      <c r="N66" s="219"/>
      <c r="P66" s="218"/>
    </row>
    <row r="67" spans="1:16" ht="40.5" customHeight="1" x14ac:dyDescent="0.25">
      <c r="A67" s="247"/>
      <c r="B67" s="247">
        <v>85510</v>
      </c>
      <c r="C67" s="282"/>
      <c r="D67" s="303" t="s">
        <v>248</v>
      </c>
      <c r="E67" s="296">
        <v>15388</v>
      </c>
      <c r="F67" s="296">
        <v>0</v>
      </c>
      <c r="G67" s="296">
        <v>65388</v>
      </c>
      <c r="H67" s="296">
        <v>65388</v>
      </c>
      <c r="I67" s="296">
        <v>65388</v>
      </c>
      <c r="J67" s="296">
        <v>0</v>
      </c>
      <c r="K67" s="296">
        <v>0</v>
      </c>
      <c r="L67" s="296">
        <v>0</v>
      </c>
      <c r="M67" s="235"/>
      <c r="N67" s="219"/>
      <c r="P67" s="218"/>
    </row>
    <row r="68" spans="1:16" ht="40.5" customHeight="1" x14ac:dyDescent="0.25">
      <c r="A68" s="221"/>
      <c r="C68" s="305" t="s">
        <v>243</v>
      </c>
      <c r="D68" s="295" t="s">
        <v>249</v>
      </c>
      <c r="E68" s="306">
        <v>15388</v>
      </c>
      <c r="F68" s="276"/>
      <c r="G68" s="287">
        <v>65388</v>
      </c>
      <c r="H68" s="300">
        <v>65388</v>
      </c>
      <c r="I68" s="287">
        <v>65388</v>
      </c>
      <c r="J68" s="287"/>
      <c r="K68" s="287"/>
      <c r="L68" s="300"/>
      <c r="M68" s="561" t="s">
        <v>199</v>
      </c>
      <c r="N68" s="219"/>
      <c r="P68" s="218"/>
    </row>
    <row r="69" spans="1:16" ht="40.5" customHeight="1" x14ac:dyDescent="0.25">
      <c r="A69" s="247"/>
      <c r="B69" s="247">
        <v>85516</v>
      </c>
      <c r="C69" s="282"/>
      <c r="D69" s="232" t="s">
        <v>127</v>
      </c>
      <c r="E69" s="296">
        <v>275000</v>
      </c>
      <c r="F69" s="296">
        <v>0</v>
      </c>
      <c r="G69" s="296">
        <v>4878920</v>
      </c>
      <c r="H69" s="296">
        <v>2374000</v>
      </c>
      <c r="I69" s="296">
        <v>2099000</v>
      </c>
      <c r="J69" s="296">
        <v>275000</v>
      </c>
      <c r="K69" s="296">
        <v>0</v>
      </c>
      <c r="L69" s="296">
        <v>0</v>
      </c>
      <c r="M69" s="555"/>
      <c r="N69" s="219"/>
      <c r="P69" s="218"/>
    </row>
    <row r="70" spans="1:16" ht="12.75" customHeight="1" x14ac:dyDescent="0.25">
      <c r="A70" s="196"/>
      <c r="B70" s="196"/>
      <c r="C70" s="226"/>
      <c r="D70" s="559" t="s">
        <v>223</v>
      </c>
      <c r="E70" s="307"/>
      <c r="F70" s="307"/>
      <c r="G70" s="268"/>
      <c r="H70" s="268"/>
      <c r="I70" s="268"/>
      <c r="J70" s="268"/>
      <c r="K70" s="268"/>
      <c r="L70" s="268"/>
      <c r="M70" s="567"/>
      <c r="N70" s="219"/>
      <c r="P70" s="218"/>
    </row>
    <row r="71" spans="1:16" ht="40.5" customHeight="1" x14ac:dyDescent="0.25">
      <c r="A71" s="221"/>
      <c r="B71" s="269" t="s">
        <v>224</v>
      </c>
      <c r="C71" s="226">
        <v>6050</v>
      </c>
      <c r="D71" s="276" t="s">
        <v>250</v>
      </c>
      <c r="E71" s="308">
        <v>275000</v>
      </c>
      <c r="F71" s="309"/>
      <c r="G71" s="273">
        <v>275000</v>
      </c>
      <c r="H71" s="273">
        <v>275000</v>
      </c>
      <c r="I71" s="273"/>
      <c r="J71" s="273">
        <v>275000</v>
      </c>
      <c r="K71" s="273"/>
      <c r="L71" s="273"/>
      <c r="M71" s="566" t="s">
        <v>169</v>
      </c>
      <c r="N71" s="219"/>
      <c r="O71" s="58" t="s">
        <v>251</v>
      </c>
      <c r="P71" s="218"/>
    </row>
    <row r="72" spans="1:16" ht="40.5" customHeight="1" x14ac:dyDescent="0.25">
      <c r="A72" s="247">
        <v>900</v>
      </c>
      <c r="B72" s="247"/>
      <c r="C72" s="226"/>
      <c r="D72" s="232" t="s">
        <v>252</v>
      </c>
      <c r="E72" s="256">
        <v>5000</v>
      </c>
      <c r="F72" s="256">
        <v>5000</v>
      </c>
      <c r="G72" s="256">
        <v>72394846.459999993</v>
      </c>
      <c r="H72" s="256">
        <v>33332777.84</v>
      </c>
      <c r="I72" s="256">
        <v>6149539</v>
      </c>
      <c r="J72" s="256">
        <v>16529387.289999999</v>
      </c>
      <c r="K72" s="256">
        <v>10653851.550000001</v>
      </c>
      <c r="L72" s="256">
        <v>0</v>
      </c>
      <c r="M72" s="282"/>
      <c r="P72" s="218"/>
    </row>
    <row r="73" spans="1:16" ht="40.5" customHeight="1" x14ac:dyDescent="0.25">
      <c r="A73" s="247"/>
      <c r="B73" s="247">
        <v>90001</v>
      </c>
      <c r="C73" s="226"/>
      <c r="D73" s="232" t="s">
        <v>170</v>
      </c>
      <c r="E73" s="296">
        <v>5000</v>
      </c>
      <c r="F73" s="296">
        <v>0</v>
      </c>
      <c r="G73" s="296">
        <v>5000</v>
      </c>
      <c r="H73" s="296">
        <v>5000</v>
      </c>
      <c r="I73" s="296">
        <v>5000</v>
      </c>
      <c r="J73" s="296">
        <v>0</v>
      </c>
      <c r="K73" s="296">
        <v>0</v>
      </c>
      <c r="L73" s="296">
        <v>0</v>
      </c>
      <c r="M73" s="282"/>
      <c r="P73" s="218"/>
    </row>
    <row r="74" spans="1:16" x14ac:dyDescent="0.25">
      <c r="A74" s="196"/>
      <c r="B74" s="196"/>
      <c r="C74" s="226"/>
      <c r="D74" s="559" t="s">
        <v>223</v>
      </c>
      <c r="E74" s="263"/>
      <c r="F74" s="263"/>
      <c r="G74" s="263"/>
      <c r="H74" s="263"/>
      <c r="I74" s="263"/>
      <c r="J74" s="263"/>
      <c r="K74" s="263"/>
      <c r="L74" s="263"/>
      <c r="M74" s="560"/>
      <c r="P74" s="218"/>
    </row>
    <row r="75" spans="1:16" ht="40.5" customHeight="1" x14ac:dyDescent="0.25">
      <c r="A75" s="221"/>
      <c r="B75" s="269" t="s">
        <v>253</v>
      </c>
      <c r="C75" s="226">
        <v>6230</v>
      </c>
      <c r="D75" s="276" t="s">
        <v>254</v>
      </c>
      <c r="E75" s="300">
        <v>5000</v>
      </c>
      <c r="F75" s="300"/>
      <c r="G75" s="300">
        <v>5000</v>
      </c>
      <c r="H75" s="310">
        <v>5000</v>
      </c>
      <c r="I75" s="300">
        <v>5000</v>
      </c>
      <c r="J75" s="300"/>
      <c r="K75" s="300"/>
      <c r="L75" s="300"/>
      <c r="M75" s="561" t="s">
        <v>255</v>
      </c>
      <c r="P75" s="218"/>
    </row>
    <row r="76" spans="1:16" ht="40.5" customHeight="1" x14ac:dyDescent="0.25">
      <c r="A76" s="247"/>
      <c r="B76" s="247">
        <v>90002</v>
      </c>
      <c r="C76" s="282"/>
      <c r="D76" s="311" t="s">
        <v>172</v>
      </c>
      <c r="E76" s="296">
        <v>0</v>
      </c>
      <c r="F76" s="296">
        <v>5000</v>
      </c>
      <c r="G76" s="296">
        <v>1906133</v>
      </c>
      <c r="H76" s="296">
        <v>1295000</v>
      </c>
      <c r="I76" s="296">
        <v>1295000</v>
      </c>
      <c r="J76" s="296">
        <v>0</v>
      </c>
      <c r="K76" s="296">
        <v>0</v>
      </c>
      <c r="L76" s="296">
        <v>0</v>
      </c>
      <c r="M76" s="555"/>
      <c r="P76" s="218"/>
    </row>
    <row r="77" spans="1:16" ht="40.5" customHeight="1" x14ac:dyDescent="0.25">
      <c r="A77" s="247"/>
      <c r="B77" s="247"/>
      <c r="C77" s="282">
        <v>6050</v>
      </c>
      <c r="D77" s="312" t="s">
        <v>256</v>
      </c>
      <c r="E77" s="312"/>
      <c r="F77" s="313">
        <v>5000</v>
      </c>
      <c r="G77" s="43">
        <v>1906133</v>
      </c>
      <c r="H77" s="310">
        <v>1295000</v>
      </c>
      <c r="I77" s="43">
        <v>1295000</v>
      </c>
      <c r="J77" s="43"/>
      <c r="K77" s="43"/>
      <c r="L77" s="261"/>
      <c r="M77" s="555" t="s">
        <v>255</v>
      </c>
      <c r="N77" s="219" t="s">
        <v>209</v>
      </c>
      <c r="P77" s="218"/>
    </row>
  </sheetData>
  <pageMargins left="0.43307086614173229" right="0.43307086614173229" top="0.74803149606299213" bottom="0.74803149606299213" header="0.31496062992125984" footer="0.31496062992125984"/>
  <pageSetup paperSize="9" scale="78" fitToHeight="0" orientation="landscape" useFirstPageNumber="1" r:id="rId1"/>
  <headerFooter>
    <oddFooter>&amp;C&amp;"Arial,Normalny"&amp;8 &amp;P</oddFooter>
  </headerFooter>
  <rowBreaks count="4" manualBreakCount="4">
    <brk id="28" max="12" man="1"/>
    <brk id="42" max="12" man="1"/>
    <brk id="57" max="12" man="1"/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60A2-5C79-495E-B089-3034BD8E5E0D}">
  <sheetPr>
    <tabColor rgb="FFFFFF00"/>
    <pageSetUpPr fitToPage="1"/>
  </sheetPr>
  <dimension ref="A1:I55"/>
  <sheetViews>
    <sheetView zoomScale="120" zoomScaleNormal="120" workbookViewId="0">
      <pane ySplit="14" topLeftCell="A15" activePane="bottomLeft" state="frozen"/>
      <selection pane="bottomLeft"/>
    </sheetView>
  </sheetViews>
  <sheetFormatPr defaultColWidth="10.28515625" defaultRowHeight="11.25" x14ac:dyDescent="0.2"/>
  <cols>
    <col min="1" max="1" width="6.42578125" style="2" customWidth="1"/>
    <col min="2" max="2" width="58.5703125" style="2" customWidth="1"/>
    <col min="3" max="3" width="10.28515625" style="2"/>
    <col min="4" max="6" width="11.42578125" style="2" customWidth="1"/>
    <col min="7" max="7" width="11.5703125" style="2" customWidth="1"/>
    <col min="8" max="8" width="11.28515625" style="2" customWidth="1"/>
    <col min="9" max="9" width="11.5703125" style="2" customWidth="1"/>
    <col min="10" max="245" width="10.28515625" style="2"/>
    <col min="246" max="246" width="6.42578125" style="2" customWidth="1"/>
    <col min="247" max="247" width="58.28515625" style="2" customWidth="1"/>
    <col min="248" max="248" width="10.28515625" style="2"/>
    <col min="249" max="249" width="11" style="2" customWidth="1"/>
    <col min="250" max="251" width="9.7109375" style="2" customWidth="1"/>
    <col min="252" max="252" width="10.7109375" style="2" customWidth="1"/>
    <col min="253" max="254" width="11.28515625" style="2" customWidth="1"/>
    <col min="255" max="255" width="17" style="2" customWidth="1"/>
    <col min="256" max="256" width="16.28515625" style="2" customWidth="1"/>
    <col min="257" max="501" width="10.28515625" style="2"/>
    <col min="502" max="502" width="6.42578125" style="2" customWidth="1"/>
    <col min="503" max="503" width="58.28515625" style="2" customWidth="1"/>
    <col min="504" max="504" width="10.28515625" style="2"/>
    <col min="505" max="505" width="11" style="2" customWidth="1"/>
    <col min="506" max="507" width="9.7109375" style="2" customWidth="1"/>
    <col min="508" max="508" width="10.7109375" style="2" customWidth="1"/>
    <col min="509" max="510" width="11.28515625" style="2" customWidth="1"/>
    <col min="511" max="511" width="17" style="2" customWidth="1"/>
    <col min="512" max="512" width="16.28515625" style="2" customWidth="1"/>
    <col min="513" max="757" width="10.28515625" style="2"/>
    <col min="758" max="758" width="6.42578125" style="2" customWidth="1"/>
    <col min="759" max="759" width="58.28515625" style="2" customWidth="1"/>
    <col min="760" max="760" width="10.28515625" style="2"/>
    <col min="761" max="761" width="11" style="2" customWidth="1"/>
    <col min="762" max="763" width="9.7109375" style="2" customWidth="1"/>
    <col min="764" max="764" width="10.7109375" style="2" customWidth="1"/>
    <col min="765" max="766" width="11.28515625" style="2" customWidth="1"/>
    <col min="767" max="767" width="17" style="2" customWidth="1"/>
    <col min="768" max="768" width="16.28515625" style="2" customWidth="1"/>
    <col min="769" max="1013" width="10.28515625" style="2"/>
    <col min="1014" max="1014" width="6.42578125" style="2" customWidth="1"/>
    <col min="1015" max="1015" width="58.28515625" style="2" customWidth="1"/>
    <col min="1016" max="1016" width="10.28515625" style="2"/>
    <col min="1017" max="1017" width="11" style="2" customWidth="1"/>
    <col min="1018" max="1019" width="9.7109375" style="2" customWidth="1"/>
    <col min="1020" max="1020" width="10.7109375" style="2" customWidth="1"/>
    <col min="1021" max="1022" width="11.28515625" style="2" customWidth="1"/>
    <col min="1023" max="1023" width="17" style="2" customWidth="1"/>
    <col min="1024" max="1024" width="16.28515625" style="2" customWidth="1"/>
    <col min="1025" max="1269" width="10.28515625" style="2"/>
    <col min="1270" max="1270" width="6.42578125" style="2" customWidth="1"/>
    <col min="1271" max="1271" width="58.28515625" style="2" customWidth="1"/>
    <col min="1272" max="1272" width="10.28515625" style="2"/>
    <col min="1273" max="1273" width="11" style="2" customWidth="1"/>
    <col min="1274" max="1275" width="9.7109375" style="2" customWidth="1"/>
    <col min="1276" max="1276" width="10.7109375" style="2" customWidth="1"/>
    <col min="1277" max="1278" width="11.28515625" style="2" customWidth="1"/>
    <col min="1279" max="1279" width="17" style="2" customWidth="1"/>
    <col min="1280" max="1280" width="16.28515625" style="2" customWidth="1"/>
    <col min="1281" max="1525" width="10.28515625" style="2"/>
    <col min="1526" max="1526" width="6.42578125" style="2" customWidth="1"/>
    <col min="1527" max="1527" width="58.28515625" style="2" customWidth="1"/>
    <col min="1528" max="1528" width="10.28515625" style="2"/>
    <col min="1529" max="1529" width="11" style="2" customWidth="1"/>
    <col min="1530" max="1531" width="9.7109375" style="2" customWidth="1"/>
    <col min="1532" max="1532" width="10.7109375" style="2" customWidth="1"/>
    <col min="1533" max="1534" width="11.28515625" style="2" customWidth="1"/>
    <col min="1535" max="1535" width="17" style="2" customWidth="1"/>
    <col min="1536" max="1536" width="16.28515625" style="2" customWidth="1"/>
    <col min="1537" max="1781" width="10.28515625" style="2"/>
    <col min="1782" max="1782" width="6.42578125" style="2" customWidth="1"/>
    <col min="1783" max="1783" width="58.28515625" style="2" customWidth="1"/>
    <col min="1784" max="1784" width="10.28515625" style="2"/>
    <col min="1785" max="1785" width="11" style="2" customWidth="1"/>
    <col min="1786" max="1787" width="9.7109375" style="2" customWidth="1"/>
    <col min="1788" max="1788" width="10.7109375" style="2" customWidth="1"/>
    <col min="1789" max="1790" width="11.28515625" style="2" customWidth="1"/>
    <col min="1791" max="1791" width="17" style="2" customWidth="1"/>
    <col min="1792" max="1792" width="16.28515625" style="2" customWidth="1"/>
    <col min="1793" max="2037" width="10.28515625" style="2"/>
    <col min="2038" max="2038" width="6.42578125" style="2" customWidth="1"/>
    <col min="2039" max="2039" width="58.28515625" style="2" customWidth="1"/>
    <col min="2040" max="2040" width="10.28515625" style="2"/>
    <col min="2041" max="2041" width="11" style="2" customWidth="1"/>
    <col min="2042" max="2043" width="9.7109375" style="2" customWidth="1"/>
    <col min="2044" max="2044" width="10.7109375" style="2" customWidth="1"/>
    <col min="2045" max="2046" width="11.28515625" style="2" customWidth="1"/>
    <col min="2047" max="2047" width="17" style="2" customWidth="1"/>
    <col min="2048" max="2048" width="16.28515625" style="2" customWidth="1"/>
    <col min="2049" max="2293" width="10.28515625" style="2"/>
    <col min="2294" max="2294" width="6.42578125" style="2" customWidth="1"/>
    <col min="2295" max="2295" width="58.28515625" style="2" customWidth="1"/>
    <col min="2296" max="2296" width="10.28515625" style="2"/>
    <col min="2297" max="2297" width="11" style="2" customWidth="1"/>
    <col min="2298" max="2299" width="9.7109375" style="2" customWidth="1"/>
    <col min="2300" max="2300" width="10.7109375" style="2" customWidth="1"/>
    <col min="2301" max="2302" width="11.28515625" style="2" customWidth="1"/>
    <col min="2303" max="2303" width="17" style="2" customWidth="1"/>
    <col min="2304" max="2304" width="16.28515625" style="2" customWidth="1"/>
    <col min="2305" max="2549" width="10.28515625" style="2"/>
    <col min="2550" max="2550" width="6.42578125" style="2" customWidth="1"/>
    <col min="2551" max="2551" width="58.28515625" style="2" customWidth="1"/>
    <col min="2552" max="2552" width="10.28515625" style="2"/>
    <col min="2553" max="2553" width="11" style="2" customWidth="1"/>
    <col min="2554" max="2555" width="9.7109375" style="2" customWidth="1"/>
    <col min="2556" max="2556" width="10.7109375" style="2" customWidth="1"/>
    <col min="2557" max="2558" width="11.28515625" style="2" customWidth="1"/>
    <col min="2559" max="2559" width="17" style="2" customWidth="1"/>
    <col min="2560" max="2560" width="16.28515625" style="2" customWidth="1"/>
    <col min="2561" max="2805" width="10.28515625" style="2"/>
    <col min="2806" max="2806" width="6.42578125" style="2" customWidth="1"/>
    <col min="2807" max="2807" width="58.28515625" style="2" customWidth="1"/>
    <col min="2808" max="2808" width="10.28515625" style="2"/>
    <col min="2809" max="2809" width="11" style="2" customWidth="1"/>
    <col min="2810" max="2811" width="9.7109375" style="2" customWidth="1"/>
    <col min="2812" max="2812" width="10.7109375" style="2" customWidth="1"/>
    <col min="2813" max="2814" width="11.28515625" style="2" customWidth="1"/>
    <col min="2815" max="2815" width="17" style="2" customWidth="1"/>
    <col min="2816" max="2816" width="16.28515625" style="2" customWidth="1"/>
    <col min="2817" max="3061" width="10.28515625" style="2"/>
    <col min="3062" max="3062" width="6.42578125" style="2" customWidth="1"/>
    <col min="3063" max="3063" width="58.28515625" style="2" customWidth="1"/>
    <col min="3064" max="3064" width="10.28515625" style="2"/>
    <col min="3065" max="3065" width="11" style="2" customWidth="1"/>
    <col min="3066" max="3067" width="9.7109375" style="2" customWidth="1"/>
    <col min="3068" max="3068" width="10.7109375" style="2" customWidth="1"/>
    <col min="3069" max="3070" width="11.28515625" style="2" customWidth="1"/>
    <col min="3071" max="3071" width="17" style="2" customWidth="1"/>
    <col min="3072" max="3072" width="16.28515625" style="2" customWidth="1"/>
    <col min="3073" max="3317" width="10.28515625" style="2"/>
    <col min="3318" max="3318" width="6.42578125" style="2" customWidth="1"/>
    <col min="3319" max="3319" width="58.28515625" style="2" customWidth="1"/>
    <col min="3320" max="3320" width="10.28515625" style="2"/>
    <col min="3321" max="3321" width="11" style="2" customWidth="1"/>
    <col min="3322" max="3323" width="9.7109375" style="2" customWidth="1"/>
    <col min="3324" max="3324" width="10.7109375" style="2" customWidth="1"/>
    <col min="3325" max="3326" width="11.28515625" style="2" customWidth="1"/>
    <col min="3327" max="3327" width="17" style="2" customWidth="1"/>
    <col min="3328" max="3328" width="16.28515625" style="2" customWidth="1"/>
    <col min="3329" max="3573" width="10.28515625" style="2"/>
    <col min="3574" max="3574" width="6.42578125" style="2" customWidth="1"/>
    <col min="3575" max="3575" width="58.28515625" style="2" customWidth="1"/>
    <col min="3576" max="3576" width="10.28515625" style="2"/>
    <col min="3577" max="3577" width="11" style="2" customWidth="1"/>
    <col min="3578" max="3579" width="9.7109375" style="2" customWidth="1"/>
    <col min="3580" max="3580" width="10.7109375" style="2" customWidth="1"/>
    <col min="3581" max="3582" width="11.28515625" style="2" customWidth="1"/>
    <col min="3583" max="3583" width="17" style="2" customWidth="1"/>
    <col min="3584" max="3584" width="16.28515625" style="2" customWidth="1"/>
    <col min="3585" max="3829" width="10.28515625" style="2"/>
    <col min="3830" max="3830" width="6.42578125" style="2" customWidth="1"/>
    <col min="3831" max="3831" width="58.28515625" style="2" customWidth="1"/>
    <col min="3832" max="3832" width="10.28515625" style="2"/>
    <col min="3833" max="3833" width="11" style="2" customWidth="1"/>
    <col min="3834" max="3835" width="9.7109375" style="2" customWidth="1"/>
    <col min="3836" max="3836" width="10.7109375" style="2" customWidth="1"/>
    <col min="3837" max="3838" width="11.28515625" style="2" customWidth="1"/>
    <col min="3839" max="3839" width="17" style="2" customWidth="1"/>
    <col min="3840" max="3840" width="16.28515625" style="2" customWidth="1"/>
    <col min="3841" max="4085" width="10.28515625" style="2"/>
    <col min="4086" max="4086" width="6.42578125" style="2" customWidth="1"/>
    <col min="4087" max="4087" width="58.28515625" style="2" customWidth="1"/>
    <col min="4088" max="4088" width="10.28515625" style="2"/>
    <col min="4089" max="4089" width="11" style="2" customWidth="1"/>
    <col min="4090" max="4091" width="9.7109375" style="2" customWidth="1"/>
    <col min="4092" max="4092" width="10.7109375" style="2" customWidth="1"/>
    <col min="4093" max="4094" width="11.28515625" style="2" customWidth="1"/>
    <col min="4095" max="4095" width="17" style="2" customWidth="1"/>
    <col min="4096" max="4096" width="16.28515625" style="2" customWidth="1"/>
    <col min="4097" max="4341" width="10.28515625" style="2"/>
    <col min="4342" max="4342" width="6.42578125" style="2" customWidth="1"/>
    <col min="4343" max="4343" width="58.28515625" style="2" customWidth="1"/>
    <col min="4344" max="4344" width="10.28515625" style="2"/>
    <col min="4345" max="4345" width="11" style="2" customWidth="1"/>
    <col min="4346" max="4347" width="9.7109375" style="2" customWidth="1"/>
    <col min="4348" max="4348" width="10.7109375" style="2" customWidth="1"/>
    <col min="4349" max="4350" width="11.28515625" style="2" customWidth="1"/>
    <col min="4351" max="4351" width="17" style="2" customWidth="1"/>
    <col min="4352" max="4352" width="16.28515625" style="2" customWidth="1"/>
    <col min="4353" max="4597" width="10.28515625" style="2"/>
    <col min="4598" max="4598" width="6.42578125" style="2" customWidth="1"/>
    <col min="4599" max="4599" width="58.28515625" style="2" customWidth="1"/>
    <col min="4600" max="4600" width="10.28515625" style="2"/>
    <col min="4601" max="4601" width="11" style="2" customWidth="1"/>
    <col min="4602" max="4603" width="9.7109375" style="2" customWidth="1"/>
    <col min="4604" max="4604" width="10.7109375" style="2" customWidth="1"/>
    <col min="4605" max="4606" width="11.28515625" style="2" customWidth="1"/>
    <col min="4607" max="4607" width="17" style="2" customWidth="1"/>
    <col min="4608" max="4608" width="16.28515625" style="2" customWidth="1"/>
    <col min="4609" max="4853" width="10.28515625" style="2"/>
    <col min="4854" max="4854" width="6.42578125" style="2" customWidth="1"/>
    <col min="4855" max="4855" width="58.28515625" style="2" customWidth="1"/>
    <col min="4856" max="4856" width="10.28515625" style="2"/>
    <col min="4857" max="4857" width="11" style="2" customWidth="1"/>
    <col min="4858" max="4859" width="9.7109375" style="2" customWidth="1"/>
    <col min="4860" max="4860" width="10.7109375" style="2" customWidth="1"/>
    <col min="4861" max="4862" width="11.28515625" style="2" customWidth="1"/>
    <col min="4863" max="4863" width="17" style="2" customWidth="1"/>
    <col min="4864" max="4864" width="16.28515625" style="2" customWidth="1"/>
    <col min="4865" max="5109" width="10.28515625" style="2"/>
    <col min="5110" max="5110" width="6.42578125" style="2" customWidth="1"/>
    <col min="5111" max="5111" width="58.28515625" style="2" customWidth="1"/>
    <col min="5112" max="5112" width="10.28515625" style="2"/>
    <col min="5113" max="5113" width="11" style="2" customWidth="1"/>
    <col min="5114" max="5115" width="9.7109375" style="2" customWidth="1"/>
    <col min="5116" max="5116" width="10.7109375" style="2" customWidth="1"/>
    <col min="5117" max="5118" width="11.28515625" style="2" customWidth="1"/>
    <col min="5119" max="5119" width="17" style="2" customWidth="1"/>
    <col min="5120" max="5120" width="16.28515625" style="2" customWidth="1"/>
    <col min="5121" max="5365" width="10.28515625" style="2"/>
    <col min="5366" max="5366" width="6.42578125" style="2" customWidth="1"/>
    <col min="5367" max="5367" width="58.28515625" style="2" customWidth="1"/>
    <col min="5368" max="5368" width="10.28515625" style="2"/>
    <col min="5369" max="5369" width="11" style="2" customWidth="1"/>
    <col min="5370" max="5371" width="9.7109375" style="2" customWidth="1"/>
    <col min="5372" max="5372" width="10.7109375" style="2" customWidth="1"/>
    <col min="5373" max="5374" width="11.28515625" style="2" customWidth="1"/>
    <col min="5375" max="5375" width="17" style="2" customWidth="1"/>
    <col min="5376" max="5376" width="16.28515625" style="2" customWidth="1"/>
    <col min="5377" max="5621" width="10.28515625" style="2"/>
    <col min="5622" max="5622" width="6.42578125" style="2" customWidth="1"/>
    <col min="5623" max="5623" width="58.28515625" style="2" customWidth="1"/>
    <col min="5624" max="5624" width="10.28515625" style="2"/>
    <col min="5625" max="5625" width="11" style="2" customWidth="1"/>
    <col min="5626" max="5627" width="9.7109375" style="2" customWidth="1"/>
    <col min="5628" max="5628" width="10.7109375" style="2" customWidth="1"/>
    <col min="5629" max="5630" width="11.28515625" style="2" customWidth="1"/>
    <col min="5631" max="5631" width="17" style="2" customWidth="1"/>
    <col min="5632" max="5632" width="16.28515625" style="2" customWidth="1"/>
    <col min="5633" max="5877" width="10.28515625" style="2"/>
    <col min="5878" max="5878" width="6.42578125" style="2" customWidth="1"/>
    <col min="5879" max="5879" width="58.28515625" style="2" customWidth="1"/>
    <col min="5880" max="5880" width="10.28515625" style="2"/>
    <col min="5881" max="5881" width="11" style="2" customWidth="1"/>
    <col min="5882" max="5883" width="9.7109375" style="2" customWidth="1"/>
    <col min="5884" max="5884" width="10.7109375" style="2" customWidth="1"/>
    <col min="5885" max="5886" width="11.28515625" style="2" customWidth="1"/>
    <col min="5887" max="5887" width="17" style="2" customWidth="1"/>
    <col min="5888" max="5888" width="16.28515625" style="2" customWidth="1"/>
    <col min="5889" max="6133" width="10.28515625" style="2"/>
    <col min="6134" max="6134" width="6.42578125" style="2" customWidth="1"/>
    <col min="6135" max="6135" width="58.28515625" style="2" customWidth="1"/>
    <col min="6136" max="6136" width="10.28515625" style="2"/>
    <col min="6137" max="6137" width="11" style="2" customWidth="1"/>
    <col min="6138" max="6139" width="9.7109375" style="2" customWidth="1"/>
    <col min="6140" max="6140" width="10.7109375" style="2" customWidth="1"/>
    <col min="6141" max="6142" width="11.28515625" style="2" customWidth="1"/>
    <col min="6143" max="6143" width="17" style="2" customWidth="1"/>
    <col min="6144" max="6144" width="16.28515625" style="2" customWidth="1"/>
    <col min="6145" max="6389" width="10.28515625" style="2"/>
    <col min="6390" max="6390" width="6.42578125" style="2" customWidth="1"/>
    <col min="6391" max="6391" width="58.28515625" style="2" customWidth="1"/>
    <col min="6392" max="6392" width="10.28515625" style="2"/>
    <col min="6393" max="6393" width="11" style="2" customWidth="1"/>
    <col min="6394" max="6395" width="9.7109375" style="2" customWidth="1"/>
    <col min="6396" max="6396" width="10.7109375" style="2" customWidth="1"/>
    <col min="6397" max="6398" width="11.28515625" style="2" customWidth="1"/>
    <col min="6399" max="6399" width="17" style="2" customWidth="1"/>
    <col min="6400" max="6400" width="16.28515625" style="2" customWidth="1"/>
    <col min="6401" max="6645" width="10.28515625" style="2"/>
    <col min="6646" max="6646" width="6.42578125" style="2" customWidth="1"/>
    <col min="6647" max="6647" width="58.28515625" style="2" customWidth="1"/>
    <col min="6648" max="6648" width="10.28515625" style="2"/>
    <col min="6649" max="6649" width="11" style="2" customWidth="1"/>
    <col min="6650" max="6651" width="9.7109375" style="2" customWidth="1"/>
    <col min="6652" max="6652" width="10.7109375" style="2" customWidth="1"/>
    <col min="6653" max="6654" width="11.28515625" style="2" customWidth="1"/>
    <col min="6655" max="6655" width="17" style="2" customWidth="1"/>
    <col min="6656" max="6656" width="16.28515625" style="2" customWidth="1"/>
    <col min="6657" max="6901" width="10.28515625" style="2"/>
    <col min="6902" max="6902" width="6.42578125" style="2" customWidth="1"/>
    <col min="6903" max="6903" width="58.28515625" style="2" customWidth="1"/>
    <col min="6904" max="6904" width="10.28515625" style="2"/>
    <col min="6905" max="6905" width="11" style="2" customWidth="1"/>
    <col min="6906" max="6907" width="9.7109375" style="2" customWidth="1"/>
    <col min="6908" max="6908" width="10.7109375" style="2" customWidth="1"/>
    <col min="6909" max="6910" width="11.28515625" style="2" customWidth="1"/>
    <col min="6911" max="6911" width="17" style="2" customWidth="1"/>
    <col min="6912" max="6912" width="16.28515625" style="2" customWidth="1"/>
    <col min="6913" max="7157" width="10.28515625" style="2"/>
    <col min="7158" max="7158" width="6.42578125" style="2" customWidth="1"/>
    <col min="7159" max="7159" width="58.28515625" style="2" customWidth="1"/>
    <col min="7160" max="7160" width="10.28515625" style="2"/>
    <col min="7161" max="7161" width="11" style="2" customWidth="1"/>
    <col min="7162" max="7163" width="9.7109375" style="2" customWidth="1"/>
    <col min="7164" max="7164" width="10.7109375" style="2" customWidth="1"/>
    <col min="7165" max="7166" width="11.28515625" style="2" customWidth="1"/>
    <col min="7167" max="7167" width="17" style="2" customWidth="1"/>
    <col min="7168" max="7168" width="16.28515625" style="2" customWidth="1"/>
    <col min="7169" max="7413" width="10.28515625" style="2"/>
    <col min="7414" max="7414" width="6.42578125" style="2" customWidth="1"/>
    <col min="7415" max="7415" width="58.28515625" style="2" customWidth="1"/>
    <col min="7416" max="7416" width="10.28515625" style="2"/>
    <col min="7417" max="7417" width="11" style="2" customWidth="1"/>
    <col min="7418" max="7419" width="9.7109375" style="2" customWidth="1"/>
    <col min="7420" max="7420" width="10.7109375" style="2" customWidth="1"/>
    <col min="7421" max="7422" width="11.28515625" style="2" customWidth="1"/>
    <col min="7423" max="7423" width="17" style="2" customWidth="1"/>
    <col min="7424" max="7424" width="16.28515625" style="2" customWidth="1"/>
    <col min="7425" max="7669" width="10.28515625" style="2"/>
    <col min="7670" max="7670" width="6.42578125" style="2" customWidth="1"/>
    <col min="7671" max="7671" width="58.28515625" style="2" customWidth="1"/>
    <col min="7672" max="7672" width="10.28515625" style="2"/>
    <col min="7673" max="7673" width="11" style="2" customWidth="1"/>
    <col min="7674" max="7675" width="9.7109375" style="2" customWidth="1"/>
    <col min="7676" max="7676" width="10.7109375" style="2" customWidth="1"/>
    <col min="7677" max="7678" width="11.28515625" style="2" customWidth="1"/>
    <col min="7679" max="7679" width="17" style="2" customWidth="1"/>
    <col min="7680" max="7680" width="16.28515625" style="2" customWidth="1"/>
    <col min="7681" max="7925" width="10.28515625" style="2"/>
    <col min="7926" max="7926" width="6.42578125" style="2" customWidth="1"/>
    <col min="7927" max="7927" width="58.28515625" style="2" customWidth="1"/>
    <col min="7928" max="7928" width="10.28515625" style="2"/>
    <col min="7929" max="7929" width="11" style="2" customWidth="1"/>
    <col min="7930" max="7931" width="9.7109375" style="2" customWidth="1"/>
    <col min="7932" max="7932" width="10.7109375" style="2" customWidth="1"/>
    <col min="7933" max="7934" width="11.28515625" style="2" customWidth="1"/>
    <col min="7935" max="7935" width="17" style="2" customWidth="1"/>
    <col min="7936" max="7936" width="16.28515625" style="2" customWidth="1"/>
    <col min="7937" max="8181" width="10.28515625" style="2"/>
    <col min="8182" max="8182" width="6.42578125" style="2" customWidth="1"/>
    <col min="8183" max="8183" width="58.28515625" style="2" customWidth="1"/>
    <col min="8184" max="8184" width="10.28515625" style="2"/>
    <col min="8185" max="8185" width="11" style="2" customWidth="1"/>
    <col min="8186" max="8187" width="9.7109375" style="2" customWidth="1"/>
    <col min="8188" max="8188" width="10.7109375" style="2" customWidth="1"/>
    <col min="8189" max="8190" width="11.28515625" style="2" customWidth="1"/>
    <col min="8191" max="8191" width="17" style="2" customWidth="1"/>
    <col min="8192" max="8192" width="16.28515625" style="2" customWidth="1"/>
    <col min="8193" max="8437" width="10.28515625" style="2"/>
    <col min="8438" max="8438" width="6.42578125" style="2" customWidth="1"/>
    <col min="8439" max="8439" width="58.28515625" style="2" customWidth="1"/>
    <col min="8440" max="8440" width="10.28515625" style="2"/>
    <col min="8441" max="8441" width="11" style="2" customWidth="1"/>
    <col min="8442" max="8443" width="9.7109375" style="2" customWidth="1"/>
    <col min="8444" max="8444" width="10.7109375" style="2" customWidth="1"/>
    <col min="8445" max="8446" width="11.28515625" style="2" customWidth="1"/>
    <col min="8447" max="8447" width="17" style="2" customWidth="1"/>
    <col min="8448" max="8448" width="16.28515625" style="2" customWidth="1"/>
    <col min="8449" max="8693" width="10.28515625" style="2"/>
    <col min="8694" max="8694" width="6.42578125" style="2" customWidth="1"/>
    <col min="8695" max="8695" width="58.28515625" style="2" customWidth="1"/>
    <col min="8696" max="8696" width="10.28515625" style="2"/>
    <col min="8697" max="8697" width="11" style="2" customWidth="1"/>
    <col min="8698" max="8699" width="9.7109375" style="2" customWidth="1"/>
    <col min="8700" max="8700" width="10.7109375" style="2" customWidth="1"/>
    <col min="8701" max="8702" width="11.28515625" style="2" customWidth="1"/>
    <col min="8703" max="8703" width="17" style="2" customWidth="1"/>
    <col min="8704" max="8704" width="16.28515625" style="2" customWidth="1"/>
    <col min="8705" max="8949" width="10.28515625" style="2"/>
    <col min="8950" max="8950" width="6.42578125" style="2" customWidth="1"/>
    <col min="8951" max="8951" width="58.28515625" style="2" customWidth="1"/>
    <col min="8952" max="8952" width="10.28515625" style="2"/>
    <col min="8953" max="8953" width="11" style="2" customWidth="1"/>
    <col min="8954" max="8955" width="9.7109375" style="2" customWidth="1"/>
    <col min="8956" max="8956" width="10.7109375" style="2" customWidth="1"/>
    <col min="8957" max="8958" width="11.28515625" style="2" customWidth="1"/>
    <col min="8959" max="8959" width="17" style="2" customWidth="1"/>
    <col min="8960" max="8960" width="16.28515625" style="2" customWidth="1"/>
    <col min="8961" max="9205" width="10.28515625" style="2"/>
    <col min="9206" max="9206" width="6.42578125" style="2" customWidth="1"/>
    <col min="9207" max="9207" width="58.28515625" style="2" customWidth="1"/>
    <col min="9208" max="9208" width="10.28515625" style="2"/>
    <col min="9209" max="9209" width="11" style="2" customWidth="1"/>
    <col min="9210" max="9211" width="9.7109375" style="2" customWidth="1"/>
    <col min="9212" max="9212" width="10.7109375" style="2" customWidth="1"/>
    <col min="9213" max="9214" width="11.28515625" style="2" customWidth="1"/>
    <col min="9215" max="9215" width="17" style="2" customWidth="1"/>
    <col min="9216" max="9216" width="16.28515625" style="2" customWidth="1"/>
    <col min="9217" max="9461" width="10.28515625" style="2"/>
    <col min="9462" max="9462" width="6.42578125" style="2" customWidth="1"/>
    <col min="9463" max="9463" width="58.28515625" style="2" customWidth="1"/>
    <col min="9464" max="9464" width="10.28515625" style="2"/>
    <col min="9465" max="9465" width="11" style="2" customWidth="1"/>
    <col min="9466" max="9467" width="9.7109375" style="2" customWidth="1"/>
    <col min="9468" max="9468" width="10.7109375" style="2" customWidth="1"/>
    <col min="9469" max="9470" width="11.28515625" style="2" customWidth="1"/>
    <col min="9471" max="9471" width="17" style="2" customWidth="1"/>
    <col min="9472" max="9472" width="16.28515625" style="2" customWidth="1"/>
    <col min="9473" max="9717" width="10.28515625" style="2"/>
    <col min="9718" max="9718" width="6.42578125" style="2" customWidth="1"/>
    <col min="9719" max="9719" width="58.28515625" style="2" customWidth="1"/>
    <col min="9720" max="9720" width="10.28515625" style="2"/>
    <col min="9721" max="9721" width="11" style="2" customWidth="1"/>
    <col min="9722" max="9723" width="9.7109375" style="2" customWidth="1"/>
    <col min="9724" max="9724" width="10.7109375" style="2" customWidth="1"/>
    <col min="9725" max="9726" width="11.28515625" style="2" customWidth="1"/>
    <col min="9727" max="9727" width="17" style="2" customWidth="1"/>
    <col min="9728" max="9728" width="16.28515625" style="2" customWidth="1"/>
    <col min="9729" max="9973" width="10.28515625" style="2"/>
    <col min="9974" max="9974" width="6.42578125" style="2" customWidth="1"/>
    <col min="9975" max="9975" width="58.28515625" style="2" customWidth="1"/>
    <col min="9976" max="9976" width="10.28515625" style="2"/>
    <col min="9977" max="9977" width="11" style="2" customWidth="1"/>
    <col min="9978" max="9979" width="9.7109375" style="2" customWidth="1"/>
    <col min="9980" max="9980" width="10.7109375" style="2" customWidth="1"/>
    <col min="9981" max="9982" width="11.28515625" style="2" customWidth="1"/>
    <col min="9983" max="9983" width="17" style="2" customWidth="1"/>
    <col min="9984" max="9984" width="16.28515625" style="2" customWidth="1"/>
    <col min="9985" max="10229" width="10.28515625" style="2"/>
    <col min="10230" max="10230" width="6.42578125" style="2" customWidth="1"/>
    <col min="10231" max="10231" width="58.28515625" style="2" customWidth="1"/>
    <col min="10232" max="10232" width="10.28515625" style="2"/>
    <col min="10233" max="10233" width="11" style="2" customWidth="1"/>
    <col min="10234" max="10235" width="9.7109375" style="2" customWidth="1"/>
    <col min="10236" max="10236" width="10.7109375" style="2" customWidth="1"/>
    <col min="10237" max="10238" width="11.28515625" style="2" customWidth="1"/>
    <col min="10239" max="10239" width="17" style="2" customWidth="1"/>
    <col min="10240" max="10240" width="16.28515625" style="2" customWidth="1"/>
    <col min="10241" max="10485" width="10.28515625" style="2"/>
    <col min="10486" max="10486" width="6.42578125" style="2" customWidth="1"/>
    <col min="10487" max="10487" width="58.28515625" style="2" customWidth="1"/>
    <col min="10488" max="10488" width="10.28515625" style="2"/>
    <col min="10489" max="10489" width="11" style="2" customWidth="1"/>
    <col min="10490" max="10491" width="9.7109375" style="2" customWidth="1"/>
    <col min="10492" max="10492" width="10.7109375" style="2" customWidth="1"/>
    <col min="10493" max="10494" width="11.28515625" style="2" customWidth="1"/>
    <col min="10495" max="10495" width="17" style="2" customWidth="1"/>
    <col min="10496" max="10496" width="16.28515625" style="2" customWidth="1"/>
    <col min="10497" max="10741" width="10.28515625" style="2"/>
    <col min="10742" max="10742" width="6.42578125" style="2" customWidth="1"/>
    <col min="10743" max="10743" width="58.28515625" style="2" customWidth="1"/>
    <col min="10744" max="10744" width="10.28515625" style="2"/>
    <col min="10745" max="10745" width="11" style="2" customWidth="1"/>
    <col min="10746" max="10747" width="9.7109375" style="2" customWidth="1"/>
    <col min="10748" max="10748" width="10.7109375" style="2" customWidth="1"/>
    <col min="10749" max="10750" width="11.28515625" style="2" customWidth="1"/>
    <col min="10751" max="10751" width="17" style="2" customWidth="1"/>
    <col min="10752" max="10752" width="16.28515625" style="2" customWidth="1"/>
    <col min="10753" max="10997" width="10.28515625" style="2"/>
    <col min="10998" max="10998" width="6.42578125" style="2" customWidth="1"/>
    <col min="10999" max="10999" width="58.28515625" style="2" customWidth="1"/>
    <col min="11000" max="11000" width="10.28515625" style="2"/>
    <col min="11001" max="11001" width="11" style="2" customWidth="1"/>
    <col min="11002" max="11003" width="9.7109375" style="2" customWidth="1"/>
    <col min="11004" max="11004" width="10.7109375" style="2" customWidth="1"/>
    <col min="11005" max="11006" width="11.28515625" style="2" customWidth="1"/>
    <col min="11007" max="11007" width="17" style="2" customWidth="1"/>
    <col min="11008" max="11008" width="16.28515625" style="2" customWidth="1"/>
    <col min="11009" max="11253" width="10.28515625" style="2"/>
    <col min="11254" max="11254" width="6.42578125" style="2" customWidth="1"/>
    <col min="11255" max="11255" width="58.28515625" style="2" customWidth="1"/>
    <col min="11256" max="11256" width="10.28515625" style="2"/>
    <col min="11257" max="11257" width="11" style="2" customWidth="1"/>
    <col min="11258" max="11259" width="9.7109375" style="2" customWidth="1"/>
    <col min="11260" max="11260" width="10.7109375" style="2" customWidth="1"/>
    <col min="11261" max="11262" width="11.28515625" style="2" customWidth="1"/>
    <col min="11263" max="11263" width="17" style="2" customWidth="1"/>
    <col min="11264" max="11264" width="16.28515625" style="2" customWidth="1"/>
    <col min="11265" max="11509" width="10.28515625" style="2"/>
    <col min="11510" max="11510" width="6.42578125" style="2" customWidth="1"/>
    <col min="11511" max="11511" width="58.28515625" style="2" customWidth="1"/>
    <col min="11512" max="11512" width="10.28515625" style="2"/>
    <col min="11513" max="11513" width="11" style="2" customWidth="1"/>
    <col min="11514" max="11515" width="9.7109375" style="2" customWidth="1"/>
    <col min="11516" max="11516" width="10.7109375" style="2" customWidth="1"/>
    <col min="11517" max="11518" width="11.28515625" style="2" customWidth="1"/>
    <col min="11519" max="11519" width="17" style="2" customWidth="1"/>
    <col min="11520" max="11520" width="16.28515625" style="2" customWidth="1"/>
    <col min="11521" max="11765" width="10.28515625" style="2"/>
    <col min="11766" max="11766" width="6.42578125" style="2" customWidth="1"/>
    <col min="11767" max="11767" width="58.28515625" style="2" customWidth="1"/>
    <col min="11768" max="11768" width="10.28515625" style="2"/>
    <col min="11769" max="11769" width="11" style="2" customWidth="1"/>
    <col min="11770" max="11771" width="9.7109375" style="2" customWidth="1"/>
    <col min="11772" max="11772" width="10.7109375" style="2" customWidth="1"/>
    <col min="11773" max="11774" width="11.28515625" style="2" customWidth="1"/>
    <col min="11775" max="11775" width="17" style="2" customWidth="1"/>
    <col min="11776" max="11776" width="16.28515625" style="2" customWidth="1"/>
    <col min="11777" max="12021" width="10.28515625" style="2"/>
    <col min="12022" max="12022" width="6.42578125" style="2" customWidth="1"/>
    <col min="12023" max="12023" width="58.28515625" style="2" customWidth="1"/>
    <col min="12024" max="12024" width="10.28515625" style="2"/>
    <col min="12025" max="12025" width="11" style="2" customWidth="1"/>
    <col min="12026" max="12027" width="9.7109375" style="2" customWidth="1"/>
    <col min="12028" max="12028" width="10.7109375" style="2" customWidth="1"/>
    <col min="12029" max="12030" width="11.28515625" style="2" customWidth="1"/>
    <col min="12031" max="12031" width="17" style="2" customWidth="1"/>
    <col min="12032" max="12032" width="16.28515625" style="2" customWidth="1"/>
    <col min="12033" max="12277" width="10.28515625" style="2"/>
    <col min="12278" max="12278" width="6.42578125" style="2" customWidth="1"/>
    <col min="12279" max="12279" width="58.28515625" style="2" customWidth="1"/>
    <col min="12280" max="12280" width="10.28515625" style="2"/>
    <col min="12281" max="12281" width="11" style="2" customWidth="1"/>
    <col min="12282" max="12283" width="9.7109375" style="2" customWidth="1"/>
    <col min="12284" max="12284" width="10.7109375" style="2" customWidth="1"/>
    <col min="12285" max="12286" width="11.28515625" style="2" customWidth="1"/>
    <col min="12287" max="12287" width="17" style="2" customWidth="1"/>
    <col min="12288" max="12288" width="16.28515625" style="2" customWidth="1"/>
    <col min="12289" max="12533" width="10.28515625" style="2"/>
    <col min="12534" max="12534" width="6.42578125" style="2" customWidth="1"/>
    <col min="12535" max="12535" width="58.28515625" style="2" customWidth="1"/>
    <col min="12536" max="12536" width="10.28515625" style="2"/>
    <col min="12537" max="12537" width="11" style="2" customWidth="1"/>
    <col min="12538" max="12539" width="9.7109375" style="2" customWidth="1"/>
    <col min="12540" max="12540" width="10.7109375" style="2" customWidth="1"/>
    <col min="12541" max="12542" width="11.28515625" style="2" customWidth="1"/>
    <col min="12543" max="12543" width="17" style="2" customWidth="1"/>
    <col min="12544" max="12544" width="16.28515625" style="2" customWidth="1"/>
    <col min="12545" max="12789" width="10.28515625" style="2"/>
    <col min="12790" max="12790" width="6.42578125" style="2" customWidth="1"/>
    <col min="12791" max="12791" width="58.28515625" style="2" customWidth="1"/>
    <col min="12792" max="12792" width="10.28515625" style="2"/>
    <col min="12793" max="12793" width="11" style="2" customWidth="1"/>
    <col min="12794" max="12795" width="9.7109375" style="2" customWidth="1"/>
    <col min="12796" max="12796" width="10.7109375" style="2" customWidth="1"/>
    <col min="12797" max="12798" width="11.28515625" style="2" customWidth="1"/>
    <col min="12799" max="12799" width="17" style="2" customWidth="1"/>
    <col min="12800" max="12800" width="16.28515625" style="2" customWidth="1"/>
    <col min="12801" max="13045" width="10.28515625" style="2"/>
    <col min="13046" max="13046" width="6.42578125" style="2" customWidth="1"/>
    <col min="13047" max="13047" width="58.28515625" style="2" customWidth="1"/>
    <col min="13048" max="13048" width="10.28515625" style="2"/>
    <col min="13049" max="13049" width="11" style="2" customWidth="1"/>
    <col min="13050" max="13051" width="9.7109375" style="2" customWidth="1"/>
    <col min="13052" max="13052" width="10.7109375" style="2" customWidth="1"/>
    <col min="13053" max="13054" width="11.28515625" style="2" customWidth="1"/>
    <col min="13055" max="13055" width="17" style="2" customWidth="1"/>
    <col min="13056" max="13056" width="16.28515625" style="2" customWidth="1"/>
    <col min="13057" max="13301" width="10.28515625" style="2"/>
    <col min="13302" max="13302" width="6.42578125" style="2" customWidth="1"/>
    <col min="13303" max="13303" width="58.28515625" style="2" customWidth="1"/>
    <col min="13304" max="13304" width="10.28515625" style="2"/>
    <col min="13305" max="13305" width="11" style="2" customWidth="1"/>
    <col min="13306" max="13307" width="9.7109375" style="2" customWidth="1"/>
    <col min="13308" max="13308" width="10.7109375" style="2" customWidth="1"/>
    <col min="13309" max="13310" width="11.28515625" style="2" customWidth="1"/>
    <col min="13311" max="13311" width="17" style="2" customWidth="1"/>
    <col min="13312" max="13312" width="16.28515625" style="2" customWidth="1"/>
    <col min="13313" max="13557" width="10.28515625" style="2"/>
    <col min="13558" max="13558" width="6.42578125" style="2" customWidth="1"/>
    <col min="13559" max="13559" width="58.28515625" style="2" customWidth="1"/>
    <col min="13560" max="13560" width="10.28515625" style="2"/>
    <col min="13561" max="13561" width="11" style="2" customWidth="1"/>
    <col min="13562" max="13563" width="9.7109375" style="2" customWidth="1"/>
    <col min="13564" max="13564" width="10.7109375" style="2" customWidth="1"/>
    <col min="13565" max="13566" width="11.28515625" style="2" customWidth="1"/>
    <col min="13567" max="13567" width="17" style="2" customWidth="1"/>
    <col min="13568" max="13568" width="16.28515625" style="2" customWidth="1"/>
    <col min="13569" max="13813" width="10.28515625" style="2"/>
    <col min="13814" max="13814" width="6.42578125" style="2" customWidth="1"/>
    <col min="13815" max="13815" width="58.28515625" style="2" customWidth="1"/>
    <col min="13816" max="13816" width="10.28515625" style="2"/>
    <col min="13817" max="13817" width="11" style="2" customWidth="1"/>
    <col min="13818" max="13819" width="9.7109375" style="2" customWidth="1"/>
    <col min="13820" max="13820" width="10.7109375" style="2" customWidth="1"/>
    <col min="13821" max="13822" width="11.28515625" style="2" customWidth="1"/>
    <col min="13823" max="13823" width="17" style="2" customWidth="1"/>
    <col min="13824" max="13824" width="16.28515625" style="2" customWidth="1"/>
    <col min="13825" max="14069" width="10.28515625" style="2"/>
    <col min="14070" max="14070" width="6.42578125" style="2" customWidth="1"/>
    <col min="14071" max="14071" width="58.28515625" style="2" customWidth="1"/>
    <col min="14072" max="14072" width="10.28515625" style="2"/>
    <col min="14073" max="14073" width="11" style="2" customWidth="1"/>
    <col min="14074" max="14075" width="9.7109375" style="2" customWidth="1"/>
    <col min="14076" max="14076" width="10.7109375" style="2" customWidth="1"/>
    <col min="14077" max="14078" width="11.28515625" style="2" customWidth="1"/>
    <col min="14079" max="14079" width="17" style="2" customWidth="1"/>
    <col min="14080" max="14080" width="16.28515625" style="2" customWidth="1"/>
    <col min="14081" max="14325" width="10.28515625" style="2"/>
    <col min="14326" max="14326" width="6.42578125" style="2" customWidth="1"/>
    <col min="14327" max="14327" width="58.28515625" style="2" customWidth="1"/>
    <col min="14328" max="14328" width="10.28515625" style="2"/>
    <col min="14329" max="14329" width="11" style="2" customWidth="1"/>
    <col min="14330" max="14331" width="9.7109375" style="2" customWidth="1"/>
    <col min="14332" max="14332" width="10.7109375" style="2" customWidth="1"/>
    <col min="14333" max="14334" width="11.28515625" style="2" customWidth="1"/>
    <col min="14335" max="14335" width="17" style="2" customWidth="1"/>
    <col min="14336" max="14336" width="16.28515625" style="2" customWidth="1"/>
    <col min="14337" max="14581" width="10.28515625" style="2"/>
    <col min="14582" max="14582" width="6.42578125" style="2" customWidth="1"/>
    <col min="14583" max="14583" width="58.28515625" style="2" customWidth="1"/>
    <col min="14584" max="14584" width="10.28515625" style="2"/>
    <col min="14585" max="14585" width="11" style="2" customWidth="1"/>
    <col min="14586" max="14587" width="9.7109375" style="2" customWidth="1"/>
    <col min="14588" max="14588" width="10.7109375" style="2" customWidth="1"/>
    <col min="14589" max="14590" width="11.28515625" style="2" customWidth="1"/>
    <col min="14591" max="14591" width="17" style="2" customWidth="1"/>
    <col min="14592" max="14592" width="16.28515625" style="2" customWidth="1"/>
    <col min="14593" max="14837" width="10.28515625" style="2"/>
    <col min="14838" max="14838" width="6.42578125" style="2" customWidth="1"/>
    <col min="14839" max="14839" width="58.28515625" style="2" customWidth="1"/>
    <col min="14840" max="14840" width="10.28515625" style="2"/>
    <col min="14841" max="14841" width="11" style="2" customWidth="1"/>
    <col min="14842" max="14843" width="9.7109375" style="2" customWidth="1"/>
    <col min="14844" max="14844" width="10.7109375" style="2" customWidth="1"/>
    <col min="14845" max="14846" width="11.28515625" style="2" customWidth="1"/>
    <col min="14847" max="14847" width="17" style="2" customWidth="1"/>
    <col min="14848" max="14848" width="16.28515625" style="2" customWidth="1"/>
    <col min="14849" max="15093" width="10.28515625" style="2"/>
    <col min="15094" max="15094" width="6.42578125" style="2" customWidth="1"/>
    <col min="15095" max="15095" width="58.28515625" style="2" customWidth="1"/>
    <col min="15096" max="15096" width="10.28515625" style="2"/>
    <col min="15097" max="15097" width="11" style="2" customWidth="1"/>
    <col min="15098" max="15099" width="9.7109375" style="2" customWidth="1"/>
    <col min="15100" max="15100" width="10.7109375" style="2" customWidth="1"/>
    <col min="15101" max="15102" width="11.28515625" style="2" customWidth="1"/>
    <col min="15103" max="15103" width="17" style="2" customWidth="1"/>
    <col min="15104" max="15104" width="16.28515625" style="2" customWidth="1"/>
    <col min="15105" max="15349" width="10.28515625" style="2"/>
    <col min="15350" max="15350" width="6.42578125" style="2" customWidth="1"/>
    <col min="15351" max="15351" width="58.28515625" style="2" customWidth="1"/>
    <col min="15352" max="15352" width="10.28515625" style="2"/>
    <col min="15353" max="15353" width="11" style="2" customWidth="1"/>
    <col min="15354" max="15355" width="9.7109375" style="2" customWidth="1"/>
    <col min="15356" max="15356" width="10.7109375" style="2" customWidth="1"/>
    <col min="15357" max="15358" width="11.28515625" style="2" customWidth="1"/>
    <col min="15359" max="15359" width="17" style="2" customWidth="1"/>
    <col min="15360" max="15360" width="16.28515625" style="2" customWidth="1"/>
    <col min="15361" max="15605" width="10.28515625" style="2"/>
    <col min="15606" max="15606" width="6.42578125" style="2" customWidth="1"/>
    <col min="15607" max="15607" width="58.28515625" style="2" customWidth="1"/>
    <col min="15608" max="15608" width="10.28515625" style="2"/>
    <col min="15609" max="15609" width="11" style="2" customWidth="1"/>
    <col min="15610" max="15611" width="9.7109375" style="2" customWidth="1"/>
    <col min="15612" max="15612" width="10.7109375" style="2" customWidth="1"/>
    <col min="15613" max="15614" width="11.28515625" style="2" customWidth="1"/>
    <col min="15615" max="15615" width="17" style="2" customWidth="1"/>
    <col min="15616" max="15616" width="16.28515625" style="2" customWidth="1"/>
    <col min="15617" max="15861" width="10.28515625" style="2"/>
    <col min="15862" max="15862" width="6.42578125" style="2" customWidth="1"/>
    <col min="15863" max="15863" width="58.28515625" style="2" customWidth="1"/>
    <col min="15864" max="15864" width="10.28515625" style="2"/>
    <col min="15865" max="15865" width="11" style="2" customWidth="1"/>
    <col min="15866" max="15867" width="9.7109375" style="2" customWidth="1"/>
    <col min="15868" max="15868" width="10.7109375" style="2" customWidth="1"/>
    <col min="15869" max="15870" width="11.28515625" style="2" customWidth="1"/>
    <col min="15871" max="15871" width="17" style="2" customWidth="1"/>
    <col min="15872" max="15872" width="16.28515625" style="2" customWidth="1"/>
    <col min="15873" max="16117" width="10.28515625" style="2"/>
    <col min="16118" max="16118" width="6.42578125" style="2" customWidth="1"/>
    <col min="16119" max="16119" width="58.28515625" style="2" customWidth="1"/>
    <col min="16120" max="16120" width="10.28515625" style="2"/>
    <col min="16121" max="16121" width="11" style="2" customWidth="1"/>
    <col min="16122" max="16123" width="9.7109375" style="2" customWidth="1"/>
    <col min="16124" max="16124" width="10.7109375" style="2" customWidth="1"/>
    <col min="16125" max="16126" width="11.28515625" style="2" customWidth="1"/>
    <col min="16127" max="16127" width="17" style="2" customWidth="1"/>
    <col min="16128" max="16128" width="16.28515625" style="2" customWidth="1"/>
    <col min="16129" max="16384" width="10.28515625" style="2"/>
  </cols>
  <sheetData>
    <row r="1" spans="1:9" ht="12" customHeight="1" x14ac:dyDescent="0.2">
      <c r="A1" s="568"/>
      <c r="C1" s="3"/>
      <c r="D1" s="3"/>
      <c r="E1" s="3"/>
      <c r="F1" s="3"/>
      <c r="G1" s="4" t="s">
        <v>68</v>
      </c>
      <c r="H1" s="4"/>
    </row>
    <row r="2" spans="1:9" ht="12" customHeight="1" x14ac:dyDescent="0.2">
      <c r="C2" s="3"/>
      <c r="D2" s="3"/>
      <c r="E2" s="3"/>
      <c r="F2" s="3"/>
      <c r="G2" s="4" t="s">
        <v>435</v>
      </c>
      <c r="H2" s="4"/>
    </row>
    <row r="3" spans="1:9" ht="12" customHeight="1" x14ac:dyDescent="0.2">
      <c r="C3" s="3"/>
      <c r="D3" s="3"/>
      <c r="E3" s="3"/>
      <c r="F3" s="3"/>
      <c r="G3" s="4" t="s">
        <v>1</v>
      </c>
      <c r="H3" s="4"/>
    </row>
    <row r="4" spans="1:9" ht="12" customHeight="1" x14ac:dyDescent="0.2">
      <c r="B4" s="3"/>
      <c r="C4" s="5"/>
      <c r="D4" s="3"/>
      <c r="E4" s="5"/>
      <c r="F4" s="3"/>
      <c r="G4" s="51" t="s">
        <v>201</v>
      </c>
      <c r="H4" s="51"/>
    </row>
    <row r="5" spans="1:9" ht="12" customHeight="1" x14ac:dyDescent="0.2">
      <c r="B5" s="3"/>
      <c r="C5" s="5"/>
      <c r="D5" s="3"/>
      <c r="E5" s="5"/>
      <c r="F5" s="3"/>
      <c r="G5" s="3"/>
      <c r="H5" s="3"/>
    </row>
    <row r="6" spans="1:9" ht="12.75" customHeight="1" x14ac:dyDescent="0.2">
      <c r="A6" s="6" t="s">
        <v>69</v>
      </c>
      <c r="B6" s="6"/>
      <c r="C6" s="6"/>
      <c r="D6" s="6"/>
      <c r="E6" s="6"/>
      <c r="F6" s="6"/>
      <c r="G6" s="6"/>
      <c r="H6" s="6"/>
      <c r="I6" s="6"/>
    </row>
    <row r="7" spans="1:9" ht="11.25" customHeight="1" x14ac:dyDescent="0.2">
      <c r="I7" s="2" t="s">
        <v>2</v>
      </c>
    </row>
    <row r="8" spans="1:9" ht="11.25" customHeight="1" x14ac:dyDescent="0.2">
      <c r="A8" s="7"/>
      <c r="B8" s="7"/>
      <c r="C8" s="8" t="s">
        <v>42</v>
      </c>
      <c r="D8" s="9" t="s">
        <v>43</v>
      </c>
      <c r="E8" s="10" t="s">
        <v>41</v>
      </c>
      <c r="F8" s="11"/>
      <c r="G8" s="10" t="s">
        <v>8</v>
      </c>
      <c r="H8" s="12"/>
      <c r="I8" s="11"/>
    </row>
    <row r="9" spans="1:9" ht="11.25" customHeight="1" x14ac:dyDescent="0.2">
      <c r="A9" s="13"/>
      <c r="B9" s="13"/>
      <c r="C9" s="14"/>
      <c r="D9" s="15" t="s">
        <v>44</v>
      </c>
      <c r="E9" s="8"/>
      <c r="F9" s="8"/>
      <c r="G9" s="10" t="s">
        <v>83</v>
      </c>
      <c r="H9" s="12"/>
      <c r="I9" s="11"/>
    </row>
    <row r="10" spans="1:9" ht="11.25" customHeight="1" x14ac:dyDescent="0.2">
      <c r="A10" s="13"/>
      <c r="B10" s="13"/>
      <c r="C10" s="14" t="s">
        <v>45</v>
      </c>
      <c r="D10" s="15" t="s">
        <v>46</v>
      </c>
      <c r="E10" s="14"/>
      <c r="F10" s="14"/>
      <c r="G10" s="8"/>
      <c r="H10" s="8"/>
      <c r="I10" s="8"/>
    </row>
    <row r="11" spans="1:9" ht="14.25" customHeight="1" x14ac:dyDescent="0.2">
      <c r="A11" s="13" t="s">
        <v>40</v>
      </c>
      <c r="B11" s="13" t="s">
        <v>47</v>
      </c>
      <c r="C11" s="14" t="s">
        <v>48</v>
      </c>
      <c r="D11" s="15" t="s">
        <v>49</v>
      </c>
      <c r="E11" s="14"/>
      <c r="F11" s="14"/>
      <c r="G11" s="14"/>
      <c r="H11" s="14"/>
      <c r="I11" s="14"/>
    </row>
    <row r="12" spans="1:9" ht="32.25" customHeight="1" x14ac:dyDescent="0.2">
      <c r="A12" s="13"/>
      <c r="B12" s="13"/>
      <c r="C12" s="14" t="s">
        <v>50</v>
      </c>
      <c r="D12" s="15" t="s">
        <v>51</v>
      </c>
      <c r="E12" s="14" t="s">
        <v>52</v>
      </c>
      <c r="F12" s="14" t="s">
        <v>53</v>
      </c>
      <c r="G12" s="14" t="s">
        <v>54</v>
      </c>
      <c r="H12" s="14" t="s">
        <v>52</v>
      </c>
      <c r="I12" s="14" t="s">
        <v>53</v>
      </c>
    </row>
    <row r="13" spans="1:9" ht="18.75" customHeight="1" x14ac:dyDescent="0.2">
      <c r="A13" s="16"/>
      <c r="B13" s="16"/>
      <c r="D13" s="17" t="s">
        <v>55</v>
      </c>
      <c r="E13" s="18"/>
      <c r="F13" s="18"/>
      <c r="G13" s="18"/>
      <c r="H13" s="18"/>
      <c r="I13" s="18"/>
    </row>
    <row r="14" spans="1:9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20">
        <v>7</v>
      </c>
      <c r="H14" s="19">
        <v>8</v>
      </c>
      <c r="I14" s="19">
        <v>9</v>
      </c>
    </row>
    <row r="15" spans="1:9" s="25" customFormat="1" ht="21.75" customHeight="1" x14ac:dyDescent="0.2">
      <c r="A15" s="21"/>
      <c r="B15" s="22" t="s">
        <v>56</v>
      </c>
      <c r="C15" s="23"/>
      <c r="D15" s="24">
        <v>460063722.30999994</v>
      </c>
      <c r="E15" s="24">
        <v>238603830.87000006</v>
      </c>
      <c r="F15" s="24">
        <v>221459891.44</v>
      </c>
      <c r="G15" s="24">
        <v>223881866.43000004</v>
      </c>
      <c r="H15" s="24">
        <v>60891998.629999995</v>
      </c>
      <c r="I15" s="24">
        <v>162989867.80000001</v>
      </c>
    </row>
    <row r="16" spans="1:9" s="25" customFormat="1" ht="12" customHeight="1" x14ac:dyDescent="0.2">
      <c r="A16" s="26"/>
      <c r="B16" s="569" t="s">
        <v>57</v>
      </c>
      <c r="C16" s="570"/>
      <c r="D16" s="571">
        <v>42876352.019999996</v>
      </c>
      <c r="E16" s="571">
        <v>8234592.4000000013</v>
      </c>
      <c r="F16" s="571">
        <v>34641759.619999997</v>
      </c>
      <c r="G16" s="571">
        <v>19308834.270000003</v>
      </c>
      <c r="H16" s="571">
        <v>2158062.39</v>
      </c>
      <c r="I16" s="571">
        <v>17150771.879999995</v>
      </c>
    </row>
    <row r="17" spans="1:9" s="25" customFormat="1" ht="12" customHeight="1" x14ac:dyDescent="0.2">
      <c r="A17" s="26"/>
      <c r="B17" s="572" t="s">
        <v>58</v>
      </c>
      <c r="C17" s="573"/>
      <c r="D17" s="574">
        <v>417187370.28999996</v>
      </c>
      <c r="E17" s="574">
        <v>230369238.47000006</v>
      </c>
      <c r="F17" s="574">
        <v>186818131.81999999</v>
      </c>
      <c r="G17" s="574">
        <v>204573032.16000003</v>
      </c>
      <c r="H17" s="574">
        <v>58733936.239999995</v>
      </c>
      <c r="I17" s="574">
        <v>145839095.92000002</v>
      </c>
    </row>
    <row r="18" spans="1:9" ht="25.5" customHeight="1" thickBot="1" x14ac:dyDescent="0.25">
      <c r="A18" s="28" t="s">
        <v>70</v>
      </c>
      <c r="B18" s="52" t="s">
        <v>82</v>
      </c>
      <c r="C18" s="34"/>
      <c r="D18" s="35">
        <v>142936781.02000004</v>
      </c>
      <c r="E18" s="35">
        <v>52286272.939999998</v>
      </c>
      <c r="F18" s="35">
        <v>90650508.079999998</v>
      </c>
      <c r="G18" s="35">
        <v>90894356.219999999</v>
      </c>
      <c r="H18" s="35">
        <v>28355271.870000001</v>
      </c>
      <c r="I18" s="35">
        <v>62539084.350000009</v>
      </c>
    </row>
    <row r="19" spans="1:9" ht="23.25" customHeight="1" x14ac:dyDescent="0.2">
      <c r="A19" s="36" t="s">
        <v>97</v>
      </c>
      <c r="B19" s="44" t="s">
        <v>89</v>
      </c>
      <c r="C19" s="575"/>
      <c r="D19" s="576"/>
      <c r="E19" s="576"/>
      <c r="F19" s="577"/>
      <c r="G19" s="576"/>
      <c r="H19" s="576"/>
      <c r="I19" s="577"/>
    </row>
    <row r="20" spans="1:9" ht="11.1" customHeight="1" x14ac:dyDescent="0.25">
      <c r="A20" s="45"/>
      <c r="B20" s="29" t="s">
        <v>94</v>
      </c>
      <c r="C20" s="578"/>
      <c r="D20" s="579"/>
      <c r="E20" s="579"/>
      <c r="F20" s="580"/>
      <c r="G20" s="579"/>
      <c r="H20" s="579"/>
      <c r="I20" s="580"/>
    </row>
    <row r="21" spans="1:9" ht="11.1" customHeight="1" x14ac:dyDescent="0.2">
      <c r="A21" s="46"/>
      <c r="B21" s="53" t="s">
        <v>57</v>
      </c>
      <c r="C21" s="47" t="s">
        <v>95</v>
      </c>
      <c r="D21" s="314">
        <v>154338.21</v>
      </c>
      <c r="E21" s="314">
        <v>32962.85</v>
      </c>
      <c r="F21" s="314">
        <v>121375.36</v>
      </c>
      <c r="G21" s="315">
        <v>154338.21</v>
      </c>
      <c r="H21" s="314">
        <v>32962.85</v>
      </c>
      <c r="I21" s="314">
        <v>121375.36</v>
      </c>
    </row>
    <row r="22" spans="1:9" ht="11.1" customHeight="1" x14ac:dyDescent="0.2">
      <c r="A22" s="31"/>
      <c r="B22" s="581" t="s">
        <v>58</v>
      </c>
      <c r="C22" s="48" t="s">
        <v>96</v>
      </c>
      <c r="D22" s="314">
        <v>15430300.540000001</v>
      </c>
      <c r="E22" s="316">
        <v>3292764.98</v>
      </c>
      <c r="F22" s="316">
        <v>12137535.560000001</v>
      </c>
      <c r="G22" s="315">
        <v>15430300.540000001</v>
      </c>
      <c r="H22" s="316">
        <v>3292764.98</v>
      </c>
      <c r="I22" s="316">
        <v>12137535.560000001</v>
      </c>
    </row>
    <row r="23" spans="1:9" ht="23.25" customHeight="1" x14ac:dyDescent="0.2">
      <c r="A23" s="36" t="s">
        <v>257</v>
      </c>
      <c r="B23" s="317" t="s">
        <v>228</v>
      </c>
      <c r="C23" s="37"/>
      <c r="D23" s="318"/>
      <c r="E23" s="318"/>
      <c r="F23" s="319"/>
      <c r="G23" s="318"/>
      <c r="H23" s="318"/>
      <c r="I23" s="319"/>
    </row>
    <row r="24" spans="1:9" ht="11.1" customHeight="1" x14ac:dyDescent="0.2">
      <c r="A24" s="30"/>
      <c r="B24" s="53" t="s">
        <v>94</v>
      </c>
      <c r="C24" s="320"/>
      <c r="D24" s="321"/>
      <c r="E24" s="321"/>
      <c r="F24" s="315"/>
      <c r="G24" s="321"/>
      <c r="H24" s="321"/>
      <c r="I24" s="315"/>
    </row>
    <row r="25" spans="1:9" ht="11.1" customHeight="1" x14ac:dyDescent="0.2">
      <c r="A25" s="30"/>
      <c r="B25" s="582" t="s">
        <v>57</v>
      </c>
      <c r="C25" s="320" t="s">
        <v>258</v>
      </c>
      <c r="D25" s="322">
        <v>157587.56</v>
      </c>
      <c r="E25" s="322">
        <v>66423.149999999994</v>
      </c>
      <c r="F25" s="323">
        <v>91164.41</v>
      </c>
      <c r="G25" s="27">
        <v>133694.10999999999</v>
      </c>
      <c r="H25" s="322">
        <v>56352.69</v>
      </c>
      <c r="I25" s="323">
        <v>77341.42</v>
      </c>
    </row>
    <row r="26" spans="1:9" ht="11.1" customHeight="1" x14ac:dyDescent="0.2">
      <c r="A26" s="31"/>
      <c r="B26" s="581" t="s">
        <v>58</v>
      </c>
      <c r="C26" s="324" t="s">
        <v>259</v>
      </c>
      <c r="D26" s="325">
        <v>33598886.920000002</v>
      </c>
      <c r="E26" s="325">
        <v>24573421.859999999</v>
      </c>
      <c r="F26" s="325">
        <v>9025465.0600000005</v>
      </c>
      <c r="G26" s="325">
        <v>13997619.529999999</v>
      </c>
      <c r="H26" s="325">
        <v>8544043.6099999994</v>
      </c>
      <c r="I26" s="325">
        <v>5453575.9199999999</v>
      </c>
    </row>
    <row r="27" spans="1:9" ht="25.5" customHeight="1" thickBot="1" x14ac:dyDescent="0.25">
      <c r="A27" s="28" t="s">
        <v>260</v>
      </c>
      <c r="B27" s="326" t="s">
        <v>261</v>
      </c>
      <c r="C27" s="327"/>
      <c r="D27" s="328">
        <v>187704867.28999999</v>
      </c>
      <c r="E27" s="328">
        <v>129429778.66</v>
      </c>
      <c r="F27" s="328">
        <v>58275088.629999995</v>
      </c>
      <c r="G27" s="328">
        <v>75987634.5</v>
      </c>
      <c r="H27" s="328">
        <v>18280745.870000001</v>
      </c>
      <c r="I27" s="328">
        <v>57706888.629999995</v>
      </c>
    </row>
    <row r="28" spans="1:9" ht="23.25" customHeight="1" x14ac:dyDescent="0.2">
      <c r="A28" s="39" t="s">
        <v>262</v>
      </c>
      <c r="B28" s="317" t="s">
        <v>203</v>
      </c>
      <c r="C28" s="329"/>
      <c r="D28" s="330"/>
      <c r="E28" s="330"/>
      <c r="F28" s="331"/>
      <c r="G28" s="332"/>
      <c r="H28" s="330"/>
      <c r="I28" s="331"/>
    </row>
    <row r="29" spans="1:9" ht="12" customHeight="1" x14ac:dyDescent="0.2">
      <c r="A29" s="333"/>
      <c r="B29" s="53" t="s">
        <v>263</v>
      </c>
      <c r="C29" s="40"/>
      <c r="D29" s="321"/>
      <c r="E29" s="321"/>
      <c r="F29" s="315"/>
      <c r="G29" s="334"/>
      <c r="H29" s="321"/>
      <c r="I29" s="335"/>
    </row>
    <row r="30" spans="1:9" ht="12" customHeight="1" x14ac:dyDescent="0.2">
      <c r="A30" s="333"/>
      <c r="B30" s="582" t="s">
        <v>57</v>
      </c>
      <c r="C30" s="47" t="s">
        <v>95</v>
      </c>
      <c r="D30" s="314"/>
      <c r="E30" s="314"/>
      <c r="F30" s="314"/>
      <c r="G30" s="314"/>
      <c r="H30" s="314"/>
      <c r="I30" s="336"/>
    </row>
    <row r="31" spans="1:9" ht="10.5" customHeight="1" x14ac:dyDescent="0.2">
      <c r="A31" s="337"/>
      <c r="B31" s="581" t="s">
        <v>58</v>
      </c>
      <c r="C31" s="48" t="s">
        <v>98</v>
      </c>
      <c r="D31" s="325">
        <v>59030602.799999997</v>
      </c>
      <c r="E31" s="325">
        <v>16680602.800000001</v>
      </c>
      <c r="F31" s="338">
        <v>42350000</v>
      </c>
      <c r="G31" s="325">
        <v>57632830.799999997</v>
      </c>
      <c r="H31" s="325">
        <v>15851030.800000001</v>
      </c>
      <c r="I31" s="338">
        <v>41781800</v>
      </c>
    </row>
    <row r="32" spans="1:9" ht="25.5" customHeight="1" thickBot="1" x14ac:dyDescent="0.25">
      <c r="A32" s="38">
        <v>6</v>
      </c>
      <c r="B32" s="339" t="s">
        <v>84</v>
      </c>
      <c r="C32" s="340"/>
      <c r="D32" s="341">
        <v>91060998.5</v>
      </c>
      <c r="E32" s="341">
        <v>28179416.329999994</v>
      </c>
      <c r="F32" s="341">
        <v>62881582.170000002</v>
      </c>
      <c r="G32" s="341">
        <v>50442899.280000001</v>
      </c>
      <c r="H32" s="341">
        <v>12436346.159999998</v>
      </c>
      <c r="I32" s="341">
        <v>38006553.120000005</v>
      </c>
    </row>
    <row r="33" spans="1:9" ht="25.5" customHeight="1" x14ac:dyDescent="0.2">
      <c r="A33" s="39" t="s">
        <v>264</v>
      </c>
      <c r="B33" s="342" t="s">
        <v>265</v>
      </c>
      <c r="C33" s="329"/>
      <c r="D33" s="330"/>
      <c r="E33" s="330"/>
      <c r="F33" s="323"/>
      <c r="G33" s="332"/>
      <c r="H33" s="330"/>
      <c r="I33" s="331"/>
    </row>
    <row r="34" spans="1:9" ht="11.1" customHeight="1" x14ac:dyDescent="0.2">
      <c r="A34" s="30"/>
      <c r="B34" s="29" t="s">
        <v>266</v>
      </c>
      <c r="C34" s="40"/>
      <c r="D34" s="321"/>
      <c r="E34" s="321"/>
      <c r="F34" s="315"/>
      <c r="G34" s="334"/>
      <c r="H34" s="321"/>
      <c r="I34" s="335"/>
    </row>
    <row r="35" spans="1:9" ht="11.1" customHeight="1" x14ac:dyDescent="0.2">
      <c r="A35" s="30"/>
      <c r="B35" s="53" t="s">
        <v>57</v>
      </c>
      <c r="C35" s="40" t="s">
        <v>267</v>
      </c>
      <c r="D35" s="314">
        <v>2823590</v>
      </c>
      <c r="E35" s="314">
        <v>423538.5</v>
      </c>
      <c r="F35" s="314">
        <v>2400051.5</v>
      </c>
      <c r="G35" s="314">
        <v>815700.3899999999</v>
      </c>
      <c r="H35" s="314">
        <v>122355.06</v>
      </c>
      <c r="I35" s="336">
        <v>693345.33</v>
      </c>
    </row>
    <row r="36" spans="1:9" ht="11.1" customHeight="1" x14ac:dyDescent="0.2">
      <c r="A36" s="41"/>
      <c r="B36" s="581" t="s">
        <v>58</v>
      </c>
      <c r="C36" s="42" t="s">
        <v>268</v>
      </c>
      <c r="D36" s="325">
        <v>0</v>
      </c>
      <c r="E36" s="325"/>
      <c r="F36" s="338"/>
      <c r="G36" s="325">
        <v>0</v>
      </c>
      <c r="H36" s="325"/>
      <c r="I36" s="338"/>
    </row>
    <row r="37" spans="1:9" ht="11.1" customHeight="1" x14ac:dyDescent="0.2">
      <c r="A37" s="33"/>
      <c r="C37" s="49"/>
      <c r="D37" s="27"/>
      <c r="E37" s="27"/>
      <c r="F37" s="27"/>
      <c r="G37" s="27"/>
      <c r="H37" s="27"/>
      <c r="I37" s="50"/>
    </row>
    <row r="38" spans="1:9" ht="15.75" customHeight="1" x14ac:dyDescent="0.2">
      <c r="A38" s="583" t="s">
        <v>59</v>
      </c>
      <c r="D38" s="32"/>
      <c r="E38" s="32"/>
      <c r="F38" s="32"/>
      <c r="G38" s="32"/>
      <c r="H38" s="32"/>
      <c r="I38" s="32"/>
    </row>
    <row r="39" spans="1:9" ht="11.1" customHeight="1" x14ac:dyDescent="0.2">
      <c r="A39" s="33"/>
      <c r="D39" s="32"/>
      <c r="E39" s="32"/>
      <c r="F39" s="32"/>
      <c r="G39" s="32"/>
      <c r="H39" s="32"/>
      <c r="I39" s="32"/>
    </row>
    <row r="40" spans="1:9" ht="11.1" customHeight="1" x14ac:dyDescent="0.2">
      <c r="A40" s="33"/>
      <c r="D40" s="32"/>
      <c r="E40" s="32"/>
      <c r="F40" s="32"/>
      <c r="G40" s="32"/>
      <c r="H40" s="32"/>
      <c r="I40" s="32"/>
    </row>
    <row r="41" spans="1:9" ht="11.1" customHeight="1" x14ac:dyDescent="0.2">
      <c r="A41" s="33"/>
      <c r="D41" s="32"/>
      <c r="E41" s="32"/>
      <c r="F41" s="32"/>
      <c r="G41" s="32"/>
      <c r="H41" s="32"/>
      <c r="I41" s="32"/>
    </row>
    <row r="42" spans="1:9" ht="11.1" customHeight="1" x14ac:dyDescent="0.2">
      <c r="A42" s="33"/>
      <c r="D42" s="32"/>
      <c r="E42" s="32"/>
      <c r="F42" s="32"/>
      <c r="G42" s="32"/>
      <c r="H42" s="32"/>
      <c r="I42" s="32"/>
    </row>
    <row r="43" spans="1:9" ht="11.1" customHeight="1" x14ac:dyDescent="0.2">
      <c r="A43" s="33"/>
      <c r="D43" s="32"/>
      <c r="E43" s="32"/>
      <c r="F43" s="32"/>
      <c r="G43" s="32"/>
      <c r="H43" s="32"/>
      <c r="I43" s="32"/>
    </row>
    <row r="44" spans="1:9" ht="11.1" customHeight="1" x14ac:dyDescent="0.2">
      <c r="A44" s="33"/>
      <c r="D44" s="32"/>
      <c r="E44" s="32"/>
      <c r="F44" s="32"/>
      <c r="G44" s="32"/>
      <c r="H44" s="32"/>
      <c r="I44" s="32"/>
    </row>
    <row r="45" spans="1:9" ht="11.1" customHeight="1" x14ac:dyDescent="0.2">
      <c r="A45" s="33"/>
      <c r="D45" s="32"/>
      <c r="E45" s="32"/>
      <c r="F45" s="32"/>
      <c r="G45" s="32"/>
      <c r="H45" s="32"/>
      <c r="I45" s="32"/>
    </row>
    <row r="46" spans="1:9" ht="11.1" customHeight="1" x14ac:dyDescent="0.2">
      <c r="A46" s="33"/>
      <c r="D46" s="32"/>
      <c r="E46" s="32"/>
      <c r="F46" s="32"/>
      <c r="G46" s="32"/>
      <c r="H46" s="32"/>
      <c r="I46" s="32"/>
    </row>
    <row r="47" spans="1:9" ht="11.1" customHeight="1" x14ac:dyDescent="0.2">
      <c r="A47" s="33"/>
      <c r="D47" s="32"/>
      <c r="E47" s="32"/>
      <c r="F47" s="32"/>
      <c r="G47" s="32"/>
      <c r="H47" s="32"/>
      <c r="I47" s="32"/>
    </row>
    <row r="48" spans="1:9" ht="11.1" customHeight="1" x14ac:dyDescent="0.2">
      <c r="A48" s="33"/>
      <c r="D48" s="32"/>
      <c r="E48" s="32"/>
      <c r="F48" s="32"/>
      <c r="G48" s="32"/>
      <c r="H48" s="32"/>
      <c r="I48" s="32"/>
    </row>
    <row r="49" spans="1:9" ht="11.1" customHeight="1" x14ac:dyDescent="0.2">
      <c r="A49" s="33"/>
      <c r="D49" s="32"/>
      <c r="E49" s="32"/>
      <c r="F49" s="32"/>
      <c r="G49" s="32"/>
      <c r="H49" s="32"/>
      <c r="I49" s="32"/>
    </row>
    <row r="50" spans="1:9" ht="11.1" customHeight="1" x14ac:dyDescent="0.2">
      <c r="A50" s="33"/>
      <c r="D50" s="32"/>
      <c r="E50" s="32"/>
      <c r="F50" s="32"/>
      <c r="G50" s="32"/>
      <c r="H50" s="32"/>
      <c r="I50" s="32"/>
    </row>
    <row r="51" spans="1:9" ht="11.1" customHeight="1" x14ac:dyDescent="0.2">
      <c r="A51" s="33"/>
      <c r="D51" s="32"/>
      <c r="E51" s="32"/>
      <c r="F51" s="32"/>
      <c r="G51" s="32"/>
      <c r="H51" s="32"/>
      <c r="I51" s="32"/>
    </row>
    <row r="52" spans="1:9" ht="11.1" customHeight="1" x14ac:dyDescent="0.2">
      <c r="A52" s="33"/>
      <c r="D52" s="32"/>
      <c r="E52" s="32"/>
      <c r="F52" s="32"/>
      <c r="G52" s="32"/>
      <c r="H52" s="32"/>
      <c r="I52" s="32"/>
    </row>
    <row r="53" spans="1:9" ht="11.1" customHeight="1" x14ac:dyDescent="0.2">
      <c r="A53" s="33"/>
      <c r="D53" s="32"/>
      <c r="E53" s="32"/>
      <c r="F53" s="32"/>
      <c r="G53" s="32"/>
      <c r="H53" s="32"/>
      <c r="I53" s="32"/>
    </row>
    <row r="54" spans="1:9" ht="12.75" customHeight="1" x14ac:dyDescent="0.2">
      <c r="D54" s="27"/>
      <c r="E54" s="27"/>
      <c r="F54" s="27"/>
      <c r="G54" s="27"/>
      <c r="H54" s="27"/>
      <c r="I54" s="27"/>
    </row>
    <row r="55" spans="1:9" ht="12.75" customHeight="1" x14ac:dyDescent="0.2"/>
  </sheetData>
  <pageMargins left="0.7" right="0.7" top="0.75" bottom="0.75" header="0.3" footer="0.3"/>
  <pageSetup paperSize="9" scale="88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1B0E-7C0D-4947-860E-16BDC1F99C5B}">
  <sheetPr>
    <tabColor rgb="FFFF66FF"/>
  </sheetPr>
  <dimension ref="A1:D39"/>
  <sheetViews>
    <sheetView zoomScale="130" zoomScaleNormal="130" workbookViewId="0"/>
  </sheetViews>
  <sheetFormatPr defaultRowHeight="12.75" x14ac:dyDescent="0.25"/>
  <cols>
    <col min="1" max="1" width="4.140625" style="584" customWidth="1"/>
    <col min="2" max="2" width="59.140625" style="584" customWidth="1"/>
    <col min="3" max="3" width="9.7109375" style="584" customWidth="1"/>
    <col min="4" max="4" width="13.7109375" style="390" customWidth="1"/>
    <col min="5" max="246" width="9.140625" style="584"/>
    <col min="247" max="247" width="4.140625" style="584" customWidth="1"/>
    <col min="248" max="248" width="59.140625" style="584" customWidth="1"/>
    <col min="249" max="249" width="9.7109375" style="584" customWidth="1"/>
    <col min="250" max="250" width="13.7109375" style="584" customWidth="1"/>
    <col min="251" max="254" width="0" style="584" hidden="1" customWidth="1"/>
    <col min="255" max="256" width="9.140625" style="584"/>
    <col min="257" max="258" width="13.140625" style="584" customWidth="1"/>
    <col min="259" max="502" width="9.140625" style="584"/>
    <col min="503" max="503" width="4.140625" style="584" customWidth="1"/>
    <col min="504" max="504" width="59.140625" style="584" customWidth="1"/>
    <col min="505" max="505" width="9.7109375" style="584" customWidth="1"/>
    <col min="506" max="506" width="13.7109375" style="584" customWidth="1"/>
    <col min="507" max="510" width="0" style="584" hidden="1" customWidth="1"/>
    <col min="511" max="512" width="9.140625" style="584"/>
    <col min="513" max="514" width="13.140625" style="584" customWidth="1"/>
    <col min="515" max="758" width="9.140625" style="584"/>
    <col min="759" max="759" width="4.140625" style="584" customWidth="1"/>
    <col min="760" max="760" width="59.140625" style="584" customWidth="1"/>
    <col min="761" max="761" width="9.7109375" style="584" customWidth="1"/>
    <col min="762" max="762" width="13.7109375" style="584" customWidth="1"/>
    <col min="763" max="766" width="0" style="584" hidden="1" customWidth="1"/>
    <col min="767" max="768" width="9.140625" style="584"/>
    <col min="769" max="770" width="13.140625" style="584" customWidth="1"/>
    <col min="771" max="1014" width="9.140625" style="584"/>
    <col min="1015" max="1015" width="4.140625" style="584" customWidth="1"/>
    <col min="1016" max="1016" width="59.140625" style="584" customWidth="1"/>
    <col min="1017" max="1017" width="9.7109375" style="584" customWidth="1"/>
    <col min="1018" max="1018" width="13.7109375" style="584" customWidth="1"/>
    <col min="1019" max="1022" width="0" style="584" hidden="1" customWidth="1"/>
    <col min="1023" max="1024" width="9.140625" style="584"/>
    <col min="1025" max="1026" width="13.140625" style="584" customWidth="1"/>
    <col min="1027" max="1270" width="9.140625" style="584"/>
    <col min="1271" max="1271" width="4.140625" style="584" customWidth="1"/>
    <col min="1272" max="1272" width="59.140625" style="584" customWidth="1"/>
    <col min="1273" max="1273" width="9.7109375" style="584" customWidth="1"/>
    <col min="1274" max="1274" width="13.7109375" style="584" customWidth="1"/>
    <col min="1275" max="1278" width="0" style="584" hidden="1" customWidth="1"/>
    <col min="1279" max="1280" width="9.140625" style="584"/>
    <col min="1281" max="1282" width="13.140625" style="584" customWidth="1"/>
    <col min="1283" max="1526" width="9.140625" style="584"/>
    <col min="1527" max="1527" width="4.140625" style="584" customWidth="1"/>
    <col min="1528" max="1528" width="59.140625" style="584" customWidth="1"/>
    <col min="1529" max="1529" width="9.7109375" style="584" customWidth="1"/>
    <col min="1530" max="1530" width="13.7109375" style="584" customWidth="1"/>
    <col min="1531" max="1534" width="0" style="584" hidden="1" customWidth="1"/>
    <col min="1535" max="1536" width="9.140625" style="584"/>
    <col min="1537" max="1538" width="13.140625" style="584" customWidth="1"/>
    <col min="1539" max="1782" width="9.140625" style="584"/>
    <col min="1783" max="1783" width="4.140625" style="584" customWidth="1"/>
    <col min="1784" max="1784" width="59.140625" style="584" customWidth="1"/>
    <col min="1785" max="1785" width="9.7109375" style="584" customWidth="1"/>
    <col min="1786" max="1786" width="13.7109375" style="584" customWidth="1"/>
    <col min="1787" max="1790" width="0" style="584" hidden="1" customWidth="1"/>
    <col min="1791" max="1792" width="9.140625" style="584"/>
    <col min="1793" max="1794" width="13.140625" style="584" customWidth="1"/>
    <col min="1795" max="2038" width="9.140625" style="584"/>
    <col min="2039" max="2039" width="4.140625" style="584" customWidth="1"/>
    <col min="2040" max="2040" width="59.140625" style="584" customWidth="1"/>
    <col min="2041" max="2041" width="9.7109375" style="584" customWidth="1"/>
    <col min="2042" max="2042" width="13.7109375" style="584" customWidth="1"/>
    <col min="2043" max="2046" width="0" style="584" hidden="1" customWidth="1"/>
    <col min="2047" max="2048" width="9.140625" style="584"/>
    <col min="2049" max="2050" width="13.140625" style="584" customWidth="1"/>
    <col min="2051" max="2294" width="9.140625" style="584"/>
    <col min="2295" max="2295" width="4.140625" style="584" customWidth="1"/>
    <col min="2296" max="2296" width="59.140625" style="584" customWidth="1"/>
    <col min="2297" max="2297" width="9.7109375" style="584" customWidth="1"/>
    <col min="2298" max="2298" width="13.7109375" style="584" customWidth="1"/>
    <col min="2299" max="2302" width="0" style="584" hidden="1" customWidth="1"/>
    <col min="2303" max="2304" width="9.140625" style="584"/>
    <col min="2305" max="2306" width="13.140625" style="584" customWidth="1"/>
    <col min="2307" max="2550" width="9.140625" style="584"/>
    <col min="2551" max="2551" width="4.140625" style="584" customWidth="1"/>
    <col min="2552" max="2552" width="59.140625" style="584" customWidth="1"/>
    <col min="2553" max="2553" width="9.7109375" style="584" customWidth="1"/>
    <col min="2554" max="2554" width="13.7109375" style="584" customWidth="1"/>
    <col min="2555" max="2558" width="0" style="584" hidden="1" customWidth="1"/>
    <col min="2559" max="2560" width="9.140625" style="584"/>
    <col min="2561" max="2562" width="13.140625" style="584" customWidth="1"/>
    <col min="2563" max="2806" width="9.140625" style="584"/>
    <col min="2807" max="2807" width="4.140625" style="584" customWidth="1"/>
    <col min="2808" max="2808" width="59.140625" style="584" customWidth="1"/>
    <col min="2809" max="2809" width="9.7109375" style="584" customWidth="1"/>
    <col min="2810" max="2810" width="13.7109375" style="584" customWidth="1"/>
    <col min="2811" max="2814" width="0" style="584" hidden="1" customWidth="1"/>
    <col min="2815" max="2816" width="9.140625" style="584"/>
    <col min="2817" max="2818" width="13.140625" style="584" customWidth="1"/>
    <col min="2819" max="3062" width="9.140625" style="584"/>
    <col min="3063" max="3063" width="4.140625" style="584" customWidth="1"/>
    <col min="3064" max="3064" width="59.140625" style="584" customWidth="1"/>
    <col min="3065" max="3065" width="9.7109375" style="584" customWidth="1"/>
    <col min="3066" max="3066" width="13.7109375" style="584" customWidth="1"/>
    <col min="3067" max="3070" width="0" style="584" hidden="1" customWidth="1"/>
    <col min="3071" max="3072" width="9.140625" style="584"/>
    <col min="3073" max="3074" width="13.140625" style="584" customWidth="1"/>
    <col min="3075" max="3318" width="9.140625" style="584"/>
    <col min="3319" max="3319" width="4.140625" style="584" customWidth="1"/>
    <col min="3320" max="3320" width="59.140625" style="584" customWidth="1"/>
    <col min="3321" max="3321" width="9.7109375" style="584" customWidth="1"/>
    <col min="3322" max="3322" width="13.7109375" style="584" customWidth="1"/>
    <col min="3323" max="3326" width="0" style="584" hidden="1" customWidth="1"/>
    <col min="3327" max="3328" width="9.140625" style="584"/>
    <col min="3329" max="3330" width="13.140625" style="584" customWidth="1"/>
    <col min="3331" max="3574" width="9.140625" style="584"/>
    <col min="3575" max="3575" width="4.140625" style="584" customWidth="1"/>
    <col min="3576" max="3576" width="59.140625" style="584" customWidth="1"/>
    <col min="3577" max="3577" width="9.7109375" style="584" customWidth="1"/>
    <col min="3578" max="3578" width="13.7109375" style="584" customWidth="1"/>
    <col min="3579" max="3582" width="0" style="584" hidden="1" customWidth="1"/>
    <col min="3583" max="3584" width="9.140625" style="584"/>
    <col min="3585" max="3586" width="13.140625" style="584" customWidth="1"/>
    <col min="3587" max="3830" width="9.140625" style="584"/>
    <col min="3831" max="3831" width="4.140625" style="584" customWidth="1"/>
    <col min="3832" max="3832" width="59.140625" style="584" customWidth="1"/>
    <col min="3833" max="3833" width="9.7109375" style="584" customWidth="1"/>
    <col min="3834" max="3834" width="13.7109375" style="584" customWidth="1"/>
    <col min="3835" max="3838" width="0" style="584" hidden="1" customWidth="1"/>
    <col min="3839" max="3840" width="9.140625" style="584"/>
    <col min="3841" max="3842" width="13.140625" style="584" customWidth="1"/>
    <col min="3843" max="4086" width="9.140625" style="584"/>
    <col min="4087" max="4087" width="4.140625" style="584" customWidth="1"/>
    <col min="4088" max="4088" width="59.140625" style="584" customWidth="1"/>
    <col min="4089" max="4089" width="9.7109375" style="584" customWidth="1"/>
    <col min="4090" max="4090" width="13.7109375" style="584" customWidth="1"/>
    <col min="4091" max="4094" width="0" style="584" hidden="1" customWidth="1"/>
    <col min="4095" max="4096" width="9.140625" style="584"/>
    <col min="4097" max="4098" width="13.140625" style="584" customWidth="1"/>
    <col min="4099" max="4342" width="9.140625" style="584"/>
    <col min="4343" max="4343" width="4.140625" style="584" customWidth="1"/>
    <col min="4344" max="4344" width="59.140625" style="584" customWidth="1"/>
    <col min="4345" max="4345" width="9.7109375" style="584" customWidth="1"/>
    <col min="4346" max="4346" width="13.7109375" style="584" customWidth="1"/>
    <col min="4347" max="4350" width="0" style="584" hidden="1" customWidth="1"/>
    <col min="4351" max="4352" width="9.140625" style="584"/>
    <col min="4353" max="4354" width="13.140625" style="584" customWidth="1"/>
    <col min="4355" max="4598" width="9.140625" style="584"/>
    <col min="4599" max="4599" width="4.140625" style="584" customWidth="1"/>
    <col min="4600" max="4600" width="59.140625" style="584" customWidth="1"/>
    <col min="4601" max="4601" width="9.7109375" style="584" customWidth="1"/>
    <col min="4602" max="4602" width="13.7109375" style="584" customWidth="1"/>
    <col min="4603" max="4606" width="0" style="584" hidden="1" customWidth="1"/>
    <col min="4607" max="4608" width="9.140625" style="584"/>
    <col min="4609" max="4610" width="13.140625" style="584" customWidth="1"/>
    <col min="4611" max="4854" width="9.140625" style="584"/>
    <col min="4855" max="4855" width="4.140625" style="584" customWidth="1"/>
    <col min="4856" max="4856" width="59.140625" style="584" customWidth="1"/>
    <col min="4857" max="4857" width="9.7109375" style="584" customWidth="1"/>
    <col min="4858" max="4858" width="13.7109375" style="584" customWidth="1"/>
    <col min="4859" max="4862" width="0" style="584" hidden="1" customWidth="1"/>
    <col min="4863" max="4864" width="9.140625" style="584"/>
    <col min="4865" max="4866" width="13.140625" style="584" customWidth="1"/>
    <col min="4867" max="5110" width="9.140625" style="584"/>
    <col min="5111" max="5111" width="4.140625" style="584" customWidth="1"/>
    <col min="5112" max="5112" width="59.140625" style="584" customWidth="1"/>
    <col min="5113" max="5113" width="9.7109375" style="584" customWidth="1"/>
    <col min="5114" max="5114" width="13.7109375" style="584" customWidth="1"/>
    <col min="5115" max="5118" width="0" style="584" hidden="1" customWidth="1"/>
    <col min="5119" max="5120" width="9.140625" style="584"/>
    <col min="5121" max="5122" width="13.140625" style="584" customWidth="1"/>
    <col min="5123" max="5366" width="9.140625" style="584"/>
    <col min="5367" max="5367" width="4.140625" style="584" customWidth="1"/>
    <col min="5368" max="5368" width="59.140625" style="584" customWidth="1"/>
    <col min="5369" max="5369" width="9.7109375" style="584" customWidth="1"/>
    <col min="5370" max="5370" width="13.7109375" style="584" customWidth="1"/>
    <col min="5371" max="5374" width="0" style="584" hidden="1" customWidth="1"/>
    <col min="5375" max="5376" width="9.140625" style="584"/>
    <col min="5377" max="5378" width="13.140625" style="584" customWidth="1"/>
    <col min="5379" max="5622" width="9.140625" style="584"/>
    <col min="5623" max="5623" width="4.140625" style="584" customWidth="1"/>
    <col min="5624" max="5624" width="59.140625" style="584" customWidth="1"/>
    <col min="5625" max="5625" width="9.7109375" style="584" customWidth="1"/>
    <col min="5626" max="5626" width="13.7109375" style="584" customWidth="1"/>
    <col min="5627" max="5630" width="0" style="584" hidden="1" customWidth="1"/>
    <col min="5631" max="5632" width="9.140625" style="584"/>
    <col min="5633" max="5634" width="13.140625" style="584" customWidth="1"/>
    <col min="5635" max="5878" width="9.140625" style="584"/>
    <col min="5879" max="5879" width="4.140625" style="584" customWidth="1"/>
    <col min="5880" max="5880" width="59.140625" style="584" customWidth="1"/>
    <col min="5881" max="5881" width="9.7109375" style="584" customWidth="1"/>
    <col min="5882" max="5882" width="13.7109375" style="584" customWidth="1"/>
    <col min="5883" max="5886" width="0" style="584" hidden="1" customWidth="1"/>
    <col min="5887" max="5888" width="9.140625" style="584"/>
    <col min="5889" max="5890" width="13.140625" style="584" customWidth="1"/>
    <col min="5891" max="6134" width="9.140625" style="584"/>
    <col min="6135" max="6135" width="4.140625" style="584" customWidth="1"/>
    <col min="6136" max="6136" width="59.140625" style="584" customWidth="1"/>
    <col min="6137" max="6137" width="9.7109375" style="584" customWidth="1"/>
    <col min="6138" max="6138" width="13.7109375" style="584" customWidth="1"/>
    <col min="6139" max="6142" width="0" style="584" hidden="1" customWidth="1"/>
    <col min="6143" max="6144" width="9.140625" style="584"/>
    <col min="6145" max="6146" width="13.140625" style="584" customWidth="1"/>
    <col min="6147" max="6390" width="9.140625" style="584"/>
    <col min="6391" max="6391" width="4.140625" style="584" customWidth="1"/>
    <col min="6392" max="6392" width="59.140625" style="584" customWidth="1"/>
    <col min="6393" max="6393" width="9.7109375" style="584" customWidth="1"/>
    <col min="6394" max="6394" width="13.7109375" style="584" customWidth="1"/>
    <col min="6395" max="6398" width="0" style="584" hidden="1" customWidth="1"/>
    <col min="6399" max="6400" width="9.140625" style="584"/>
    <col min="6401" max="6402" width="13.140625" style="584" customWidth="1"/>
    <col min="6403" max="6646" width="9.140625" style="584"/>
    <col min="6647" max="6647" width="4.140625" style="584" customWidth="1"/>
    <col min="6648" max="6648" width="59.140625" style="584" customWidth="1"/>
    <col min="6649" max="6649" width="9.7109375" style="584" customWidth="1"/>
    <col min="6650" max="6650" width="13.7109375" style="584" customWidth="1"/>
    <col min="6651" max="6654" width="0" style="584" hidden="1" customWidth="1"/>
    <col min="6655" max="6656" width="9.140625" style="584"/>
    <col min="6657" max="6658" width="13.140625" style="584" customWidth="1"/>
    <col min="6659" max="6902" width="9.140625" style="584"/>
    <col min="6903" max="6903" width="4.140625" style="584" customWidth="1"/>
    <col min="6904" max="6904" width="59.140625" style="584" customWidth="1"/>
    <col min="6905" max="6905" width="9.7109375" style="584" customWidth="1"/>
    <col min="6906" max="6906" width="13.7109375" style="584" customWidth="1"/>
    <col min="6907" max="6910" width="0" style="584" hidden="1" customWidth="1"/>
    <col min="6911" max="6912" width="9.140625" style="584"/>
    <col min="6913" max="6914" width="13.140625" style="584" customWidth="1"/>
    <col min="6915" max="7158" width="9.140625" style="584"/>
    <col min="7159" max="7159" width="4.140625" style="584" customWidth="1"/>
    <col min="7160" max="7160" width="59.140625" style="584" customWidth="1"/>
    <col min="7161" max="7161" width="9.7109375" style="584" customWidth="1"/>
    <col min="7162" max="7162" width="13.7109375" style="584" customWidth="1"/>
    <col min="7163" max="7166" width="0" style="584" hidden="1" customWidth="1"/>
    <col min="7167" max="7168" width="9.140625" style="584"/>
    <col min="7169" max="7170" width="13.140625" style="584" customWidth="1"/>
    <col min="7171" max="7414" width="9.140625" style="584"/>
    <col min="7415" max="7415" width="4.140625" style="584" customWidth="1"/>
    <col min="7416" max="7416" width="59.140625" style="584" customWidth="1"/>
    <col min="7417" max="7417" width="9.7109375" style="584" customWidth="1"/>
    <col min="7418" max="7418" width="13.7109375" style="584" customWidth="1"/>
    <col min="7419" max="7422" width="0" style="584" hidden="1" customWidth="1"/>
    <col min="7423" max="7424" width="9.140625" style="584"/>
    <col min="7425" max="7426" width="13.140625" style="584" customWidth="1"/>
    <col min="7427" max="7670" width="9.140625" style="584"/>
    <col min="7671" max="7671" width="4.140625" style="584" customWidth="1"/>
    <col min="7672" max="7672" width="59.140625" style="584" customWidth="1"/>
    <col min="7673" max="7673" width="9.7109375" style="584" customWidth="1"/>
    <col min="7674" max="7674" width="13.7109375" style="584" customWidth="1"/>
    <col min="7675" max="7678" width="0" style="584" hidden="1" customWidth="1"/>
    <col min="7679" max="7680" width="9.140625" style="584"/>
    <col min="7681" max="7682" width="13.140625" style="584" customWidth="1"/>
    <col min="7683" max="7926" width="9.140625" style="584"/>
    <col min="7927" max="7927" width="4.140625" style="584" customWidth="1"/>
    <col min="7928" max="7928" width="59.140625" style="584" customWidth="1"/>
    <col min="7929" max="7929" width="9.7109375" style="584" customWidth="1"/>
    <col min="7930" max="7930" width="13.7109375" style="584" customWidth="1"/>
    <col min="7931" max="7934" width="0" style="584" hidden="1" customWidth="1"/>
    <col min="7935" max="7936" width="9.140625" style="584"/>
    <col min="7937" max="7938" width="13.140625" style="584" customWidth="1"/>
    <col min="7939" max="8182" width="9.140625" style="584"/>
    <col min="8183" max="8183" width="4.140625" style="584" customWidth="1"/>
    <col min="8184" max="8184" width="59.140625" style="584" customWidth="1"/>
    <col min="8185" max="8185" width="9.7109375" style="584" customWidth="1"/>
    <col min="8186" max="8186" width="13.7109375" style="584" customWidth="1"/>
    <col min="8187" max="8190" width="0" style="584" hidden="1" customWidth="1"/>
    <col min="8191" max="8192" width="9.140625" style="584"/>
    <col min="8193" max="8194" width="13.140625" style="584" customWidth="1"/>
    <col min="8195" max="8438" width="9.140625" style="584"/>
    <col min="8439" max="8439" width="4.140625" style="584" customWidth="1"/>
    <col min="8440" max="8440" width="59.140625" style="584" customWidth="1"/>
    <col min="8441" max="8441" width="9.7109375" style="584" customWidth="1"/>
    <col min="8442" max="8442" width="13.7109375" style="584" customWidth="1"/>
    <col min="8443" max="8446" width="0" style="584" hidden="1" customWidth="1"/>
    <col min="8447" max="8448" width="9.140625" style="584"/>
    <col min="8449" max="8450" width="13.140625" style="584" customWidth="1"/>
    <col min="8451" max="8694" width="9.140625" style="584"/>
    <col min="8695" max="8695" width="4.140625" style="584" customWidth="1"/>
    <col min="8696" max="8696" width="59.140625" style="584" customWidth="1"/>
    <col min="8697" max="8697" width="9.7109375" style="584" customWidth="1"/>
    <col min="8698" max="8698" width="13.7109375" style="584" customWidth="1"/>
    <col min="8699" max="8702" width="0" style="584" hidden="1" customWidth="1"/>
    <col min="8703" max="8704" width="9.140625" style="584"/>
    <col min="8705" max="8706" width="13.140625" style="584" customWidth="1"/>
    <col min="8707" max="8950" width="9.140625" style="584"/>
    <col min="8951" max="8951" width="4.140625" style="584" customWidth="1"/>
    <col min="8952" max="8952" width="59.140625" style="584" customWidth="1"/>
    <col min="8953" max="8953" width="9.7109375" style="584" customWidth="1"/>
    <col min="8954" max="8954" width="13.7109375" style="584" customWidth="1"/>
    <col min="8955" max="8958" width="0" style="584" hidden="1" customWidth="1"/>
    <col min="8959" max="8960" width="9.140625" style="584"/>
    <col min="8961" max="8962" width="13.140625" style="584" customWidth="1"/>
    <col min="8963" max="9206" width="9.140625" style="584"/>
    <col min="9207" max="9207" width="4.140625" style="584" customWidth="1"/>
    <col min="9208" max="9208" width="59.140625" style="584" customWidth="1"/>
    <col min="9209" max="9209" width="9.7109375" style="584" customWidth="1"/>
    <col min="9210" max="9210" width="13.7109375" style="584" customWidth="1"/>
    <col min="9211" max="9214" width="0" style="584" hidden="1" customWidth="1"/>
    <col min="9215" max="9216" width="9.140625" style="584"/>
    <col min="9217" max="9218" width="13.140625" style="584" customWidth="1"/>
    <col min="9219" max="9462" width="9.140625" style="584"/>
    <col min="9463" max="9463" width="4.140625" style="584" customWidth="1"/>
    <col min="9464" max="9464" width="59.140625" style="584" customWidth="1"/>
    <col min="9465" max="9465" width="9.7109375" style="584" customWidth="1"/>
    <col min="9466" max="9466" width="13.7109375" style="584" customWidth="1"/>
    <col min="9467" max="9470" width="0" style="584" hidden="1" customWidth="1"/>
    <col min="9471" max="9472" width="9.140625" style="584"/>
    <col min="9473" max="9474" width="13.140625" style="584" customWidth="1"/>
    <col min="9475" max="9718" width="9.140625" style="584"/>
    <col min="9719" max="9719" width="4.140625" style="584" customWidth="1"/>
    <col min="9720" max="9720" width="59.140625" style="584" customWidth="1"/>
    <col min="9721" max="9721" width="9.7109375" style="584" customWidth="1"/>
    <col min="9722" max="9722" width="13.7109375" style="584" customWidth="1"/>
    <col min="9723" max="9726" width="0" style="584" hidden="1" customWidth="1"/>
    <col min="9727" max="9728" width="9.140625" style="584"/>
    <col min="9729" max="9730" width="13.140625" style="584" customWidth="1"/>
    <col min="9731" max="9974" width="9.140625" style="584"/>
    <col min="9975" max="9975" width="4.140625" style="584" customWidth="1"/>
    <col min="9976" max="9976" width="59.140625" style="584" customWidth="1"/>
    <col min="9977" max="9977" width="9.7109375" style="584" customWidth="1"/>
    <col min="9978" max="9978" width="13.7109375" style="584" customWidth="1"/>
    <col min="9979" max="9982" width="0" style="584" hidden="1" customWidth="1"/>
    <col min="9983" max="9984" width="9.140625" style="584"/>
    <col min="9985" max="9986" width="13.140625" style="584" customWidth="1"/>
    <col min="9987" max="10230" width="9.140625" style="584"/>
    <col min="10231" max="10231" width="4.140625" style="584" customWidth="1"/>
    <col min="10232" max="10232" width="59.140625" style="584" customWidth="1"/>
    <col min="10233" max="10233" width="9.7109375" style="584" customWidth="1"/>
    <col min="10234" max="10234" width="13.7109375" style="584" customWidth="1"/>
    <col min="10235" max="10238" width="0" style="584" hidden="1" customWidth="1"/>
    <col min="10239" max="10240" width="9.140625" style="584"/>
    <col min="10241" max="10242" width="13.140625" style="584" customWidth="1"/>
    <col min="10243" max="10486" width="9.140625" style="584"/>
    <col min="10487" max="10487" width="4.140625" style="584" customWidth="1"/>
    <col min="10488" max="10488" width="59.140625" style="584" customWidth="1"/>
    <col min="10489" max="10489" width="9.7109375" style="584" customWidth="1"/>
    <col min="10490" max="10490" width="13.7109375" style="584" customWidth="1"/>
    <col min="10491" max="10494" width="0" style="584" hidden="1" customWidth="1"/>
    <col min="10495" max="10496" width="9.140625" style="584"/>
    <col min="10497" max="10498" width="13.140625" style="584" customWidth="1"/>
    <col min="10499" max="10742" width="9.140625" style="584"/>
    <col min="10743" max="10743" width="4.140625" style="584" customWidth="1"/>
    <col min="10744" max="10744" width="59.140625" style="584" customWidth="1"/>
    <col min="10745" max="10745" width="9.7109375" style="584" customWidth="1"/>
    <col min="10746" max="10746" width="13.7109375" style="584" customWidth="1"/>
    <col min="10747" max="10750" width="0" style="584" hidden="1" customWidth="1"/>
    <col min="10751" max="10752" width="9.140625" style="584"/>
    <col min="10753" max="10754" width="13.140625" style="584" customWidth="1"/>
    <col min="10755" max="10998" width="9.140625" style="584"/>
    <col min="10999" max="10999" width="4.140625" style="584" customWidth="1"/>
    <col min="11000" max="11000" width="59.140625" style="584" customWidth="1"/>
    <col min="11001" max="11001" width="9.7109375" style="584" customWidth="1"/>
    <col min="11002" max="11002" width="13.7109375" style="584" customWidth="1"/>
    <col min="11003" max="11006" width="0" style="584" hidden="1" customWidth="1"/>
    <col min="11007" max="11008" width="9.140625" style="584"/>
    <col min="11009" max="11010" width="13.140625" style="584" customWidth="1"/>
    <col min="11011" max="11254" width="9.140625" style="584"/>
    <col min="11255" max="11255" width="4.140625" style="584" customWidth="1"/>
    <col min="11256" max="11256" width="59.140625" style="584" customWidth="1"/>
    <col min="11257" max="11257" width="9.7109375" style="584" customWidth="1"/>
    <col min="11258" max="11258" width="13.7109375" style="584" customWidth="1"/>
    <col min="11259" max="11262" width="0" style="584" hidden="1" customWidth="1"/>
    <col min="11263" max="11264" width="9.140625" style="584"/>
    <col min="11265" max="11266" width="13.140625" style="584" customWidth="1"/>
    <col min="11267" max="11510" width="9.140625" style="584"/>
    <col min="11511" max="11511" width="4.140625" style="584" customWidth="1"/>
    <col min="11512" max="11512" width="59.140625" style="584" customWidth="1"/>
    <col min="11513" max="11513" width="9.7109375" style="584" customWidth="1"/>
    <col min="11514" max="11514" width="13.7109375" style="584" customWidth="1"/>
    <col min="11515" max="11518" width="0" style="584" hidden="1" customWidth="1"/>
    <col min="11519" max="11520" width="9.140625" style="584"/>
    <col min="11521" max="11522" width="13.140625" style="584" customWidth="1"/>
    <col min="11523" max="11766" width="9.140625" style="584"/>
    <col min="11767" max="11767" width="4.140625" style="584" customWidth="1"/>
    <col min="11768" max="11768" width="59.140625" style="584" customWidth="1"/>
    <col min="11769" max="11769" width="9.7109375" style="584" customWidth="1"/>
    <col min="11770" max="11770" width="13.7109375" style="584" customWidth="1"/>
    <col min="11771" max="11774" width="0" style="584" hidden="1" customWidth="1"/>
    <col min="11775" max="11776" width="9.140625" style="584"/>
    <col min="11777" max="11778" width="13.140625" style="584" customWidth="1"/>
    <col min="11779" max="12022" width="9.140625" style="584"/>
    <col min="12023" max="12023" width="4.140625" style="584" customWidth="1"/>
    <col min="12024" max="12024" width="59.140625" style="584" customWidth="1"/>
    <col min="12025" max="12025" width="9.7109375" style="584" customWidth="1"/>
    <col min="12026" max="12026" width="13.7109375" style="584" customWidth="1"/>
    <col min="12027" max="12030" width="0" style="584" hidden="1" customWidth="1"/>
    <col min="12031" max="12032" width="9.140625" style="584"/>
    <col min="12033" max="12034" width="13.140625" style="584" customWidth="1"/>
    <col min="12035" max="12278" width="9.140625" style="584"/>
    <col min="12279" max="12279" width="4.140625" style="584" customWidth="1"/>
    <col min="12280" max="12280" width="59.140625" style="584" customWidth="1"/>
    <col min="12281" max="12281" width="9.7109375" style="584" customWidth="1"/>
    <col min="12282" max="12282" width="13.7109375" style="584" customWidth="1"/>
    <col min="12283" max="12286" width="0" style="584" hidden="1" customWidth="1"/>
    <col min="12287" max="12288" width="9.140625" style="584"/>
    <col min="12289" max="12290" width="13.140625" style="584" customWidth="1"/>
    <col min="12291" max="12534" width="9.140625" style="584"/>
    <col min="12535" max="12535" width="4.140625" style="584" customWidth="1"/>
    <col min="12536" max="12536" width="59.140625" style="584" customWidth="1"/>
    <col min="12537" max="12537" width="9.7109375" style="584" customWidth="1"/>
    <col min="12538" max="12538" width="13.7109375" style="584" customWidth="1"/>
    <col min="12539" max="12542" width="0" style="584" hidden="1" customWidth="1"/>
    <col min="12543" max="12544" width="9.140625" style="584"/>
    <col min="12545" max="12546" width="13.140625" style="584" customWidth="1"/>
    <col min="12547" max="12790" width="9.140625" style="584"/>
    <col min="12791" max="12791" width="4.140625" style="584" customWidth="1"/>
    <col min="12792" max="12792" width="59.140625" style="584" customWidth="1"/>
    <col min="12793" max="12793" width="9.7109375" style="584" customWidth="1"/>
    <col min="12794" max="12794" width="13.7109375" style="584" customWidth="1"/>
    <col min="12795" max="12798" width="0" style="584" hidden="1" customWidth="1"/>
    <col min="12799" max="12800" width="9.140625" style="584"/>
    <col min="12801" max="12802" width="13.140625" style="584" customWidth="1"/>
    <col min="12803" max="13046" width="9.140625" style="584"/>
    <col min="13047" max="13047" width="4.140625" style="584" customWidth="1"/>
    <col min="13048" max="13048" width="59.140625" style="584" customWidth="1"/>
    <col min="13049" max="13049" width="9.7109375" style="584" customWidth="1"/>
    <col min="13050" max="13050" width="13.7109375" style="584" customWidth="1"/>
    <col min="13051" max="13054" width="0" style="584" hidden="1" customWidth="1"/>
    <col min="13055" max="13056" width="9.140625" style="584"/>
    <col min="13057" max="13058" width="13.140625" style="584" customWidth="1"/>
    <col min="13059" max="13302" width="9.140625" style="584"/>
    <col min="13303" max="13303" width="4.140625" style="584" customWidth="1"/>
    <col min="13304" max="13304" width="59.140625" style="584" customWidth="1"/>
    <col min="13305" max="13305" width="9.7109375" style="584" customWidth="1"/>
    <col min="13306" max="13306" width="13.7109375" style="584" customWidth="1"/>
    <col min="13307" max="13310" width="0" style="584" hidden="1" customWidth="1"/>
    <col min="13311" max="13312" width="9.140625" style="584"/>
    <col min="13313" max="13314" width="13.140625" style="584" customWidth="1"/>
    <col min="13315" max="13558" width="9.140625" style="584"/>
    <col min="13559" max="13559" width="4.140625" style="584" customWidth="1"/>
    <col min="13560" max="13560" width="59.140625" style="584" customWidth="1"/>
    <col min="13561" max="13561" width="9.7109375" style="584" customWidth="1"/>
    <col min="13562" max="13562" width="13.7109375" style="584" customWidth="1"/>
    <col min="13563" max="13566" width="0" style="584" hidden="1" customWidth="1"/>
    <col min="13567" max="13568" width="9.140625" style="584"/>
    <col min="13569" max="13570" width="13.140625" style="584" customWidth="1"/>
    <col min="13571" max="13814" width="9.140625" style="584"/>
    <col min="13815" max="13815" width="4.140625" style="584" customWidth="1"/>
    <col min="13816" max="13816" width="59.140625" style="584" customWidth="1"/>
    <col min="13817" max="13817" width="9.7109375" style="584" customWidth="1"/>
    <col min="13818" max="13818" width="13.7109375" style="584" customWidth="1"/>
    <col min="13819" max="13822" width="0" style="584" hidden="1" customWidth="1"/>
    <col min="13823" max="13824" width="9.140625" style="584"/>
    <col min="13825" max="13826" width="13.140625" style="584" customWidth="1"/>
    <col min="13827" max="14070" width="9.140625" style="584"/>
    <col min="14071" max="14071" width="4.140625" style="584" customWidth="1"/>
    <col min="14072" max="14072" width="59.140625" style="584" customWidth="1"/>
    <col min="14073" max="14073" width="9.7109375" style="584" customWidth="1"/>
    <col min="14074" max="14074" width="13.7109375" style="584" customWidth="1"/>
    <col min="14075" max="14078" width="0" style="584" hidden="1" customWidth="1"/>
    <col min="14079" max="14080" width="9.140625" style="584"/>
    <col min="14081" max="14082" width="13.140625" style="584" customWidth="1"/>
    <col min="14083" max="14326" width="9.140625" style="584"/>
    <col min="14327" max="14327" width="4.140625" style="584" customWidth="1"/>
    <col min="14328" max="14328" width="59.140625" style="584" customWidth="1"/>
    <col min="14329" max="14329" width="9.7109375" style="584" customWidth="1"/>
    <col min="14330" max="14330" width="13.7109375" style="584" customWidth="1"/>
    <col min="14331" max="14334" width="0" style="584" hidden="1" customWidth="1"/>
    <col min="14335" max="14336" width="9.140625" style="584"/>
    <col min="14337" max="14338" width="13.140625" style="584" customWidth="1"/>
    <col min="14339" max="14582" width="9.140625" style="584"/>
    <col min="14583" max="14583" width="4.140625" style="584" customWidth="1"/>
    <col min="14584" max="14584" width="59.140625" style="584" customWidth="1"/>
    <col min="14585" max="14585" width="9.7109375" style="584" customWidth="1"/>
    <col min="14586" max="14586" width="13.7109375" style="584" customWidth="1"/>
    <col min="14587" max="14590" width="0" style="584" hidden="1" customWidth="1"/>
    <col min="14591" max="14592" width="9.140625" style="584"/>
    <col min="14593" max="14594" width="13.140625" style="584" customWidth="1"/>
    <col min="14595" max="14838" width="9.140625" style="584"/>
    <col min="14839" max="14839" width="4.140625" style="584" customWidth="1"/>
    <col min="14840" max="14840" width="59.140625" style="584" customWidth="1"/>
    <col min="14841" max="14841" width="9.7109375" style="584" customWidth="1"/>
    <col min="14842" max="14842" width="13.7109375" style="584" customWidth="1"/>
    <col min="14843" max="14846" width="0" style="584" hidden="1" customWidth="1"/>
    <col min="14847" max="14848" width="9.140625" style="584"/>
    <col min="14849" max="14850" width="13.140625" style="584" customWidth="1"/>
    <col min="14851" max="15094" width="9.140625" style="584"/>
    <col min="15095" max="15095" width="4.140625" style="584" customWidth="1"/>
    <col min="15096" max="15096" width="59.140625" style="584" customWidth="1"/>
    <col min="15097" max="15097" width="9.7109375" style="584" customWidth="1"/>
    <col min="15098" max="15098" width="13.7109375" style="584" customWidth="1"/>
    <col min="15099" max="15102" width="0" style="584" hidden="1" customWidth="1"/>
    <col min="15103" max="15104" width="9.140625" style="584"/>
    <col min="15105" max="15106" width="13.140625" style="584" customWidth="1"/>
    <col min="15107" max="15350" width="9.140625" style="584"/>
    <col min="15351" max="15351" width="4.140625" style="584" customWidth="1"/>
    <col min="15352" max="15352" width="59.140625" style="584" customWidth="1"/>
    <col min="15353" max="15353" width="9.7109375" style="584" customWidth="1"/>
    <col min="15354" max="15354" width="13.7109375" style="584" customWidth="1"/>
    <col min="15355" max="15358" width="0" style="584" hidden="1" customWidth="1"/>
    <col min="15359" max="15360" width="9.140625" style="584"/>
    <col min="15361" max="15362" width="13.140625" style="584" customWidth="1"/>
    <col min="15363" max="15606" width="9.140625" style="584"/>
    <col min="15607" max="15607" width="4.140625" style="584" customWidth="1"/>
    <col min="15608" max="15608" width="59.140625" style="584" customWidth="1"/>
    <col min="15609" max="15609" width="9.7109375" style="584" customWidth="1"/>
    <col min="15610" max="15610" width="13.7109375" style="584" customWidth="1"/>
    <col min="15611" max="15614" width="0" style="584" hidden="1" customWidth="1"/>
    <col min="15615" max="15616" width="9.140625" style="584"/>
    <col min="15617" max="15618" width="13.140625" style="584" customWidth="1"/>
    <col min="15619" max="15862" width="9.140625" style="584"/>
    <col min="15863" max="15863" width="4.140625" style="584" customWidth="1"/>
    <col min="15864" max="15864" width="59.140625" style="584" customWidth="1"/>
    <col min="15865" max="15865" width="9.7109375" style="584" customWidth="1"/>
    <col min="15866" max="15866" width="13.7109375" style="584" customWidth="1"/>
    <col min="15867" max="15870" width="0" style="584" hidden="1" customWidth="1"/>
    <col min="15871" max="15872" width="9.140625" style="584"/>
    <col min="15873" max="15874" width="13.140625" style="584" customWidth="1"/>
    <col min="15875" max="16118" width="9.140625" style="584"/>
    <col min="16119" max="16119" width="4.140625" style="584" customWidth="1"/>
    <col min="16120" max="16120" width="59.140625" style="584" customWidth="1"/>
    <col min="16121" max="16121" width="9.7109375" style="584" customWidth="1"/>
    <col min="16122" max="16122" width="13.7109375" style="584" customWidth="1"/>
    <col min="16123" max="16126" width="0" style="584" hidden="1" customWidth="1"/>
    <col min="16127" max="16128" width="9.140625" style="584"/>
    <col min="16129" max="16130" width="13.140625" style="584" customWidth="1"/>
    <col min="16131" max="16384" width="9.140625" style="584"/>
  </cols>
  <sheetData>
    <row r="1" spans="1:4" ht="13.5" x14ac:dyDescent="0.25">
      <c r="A1" s="343"/>
      <c r="B1" s="344"/>
      <c r="C1" s="344" t="s">
        <v>269</v>
      </c>
      <c r="D1" s="345"/>
    </row>
    <row r="2" spans="1:4" ht="13.5" x14ac:dyDescent="0.25">
      <c r="A2" s="346"/>
      <c r="B2" s="344"/>
      <c r="C2" s="344" t="s">
        <v>435</v>
      </c>
      <c r="D2" s="345"/>
    </row>
    <row r="3" spans="1:4" ht="13.5" x14ac:dyDescent="0.25">
      <c r="A3" s="346"/>
      <c r="B3" s="347"/>
      <c r="C3" s="344" t="s">
        <v>1</v>
      </c>
      <c r="D3" s="345"/>
    </row>
    <row r="4" spans="1:4" ht="13.5" x14ac:dyDescent="0.25">
      <c r="A4" s="346"/>
      <c r="B4" s="344"/>
      <c r="C4" s="344" t="s">
        <v>201</v>
      </c>
      <c r="D4" s="345"/>
    </row>
    <row r="5" spans="1:4" ht="22.5" customHeight="1" x14ac:dyDescent="0.25">
      <c r="A5" s="346"/>
      <c r="B5" s="346"/>
      <c r="C5" s="344"/>
      <c r="D5" s="345"/>
    </row>
    <row r="6" spans="1:4" ht="25.5" customHeight="1" x14ac:dyDescent="0.25">
      <c r="A6" s="531" t="s">
        <v>270</v>
      </c>
      <c r="B6" s="531"/>
      <c r="C6" s="531"/>
      <c r="D6" s="531"/>
    </row>
    <row r="7" spans="1:4" ht="23.25" customHeight="1" x14ac:dyDescent="0.25">
      <c r="A7" s="346"/>
      <c r="B7" s="346"/>
      <c r="C7" s="346"/>
      <c r="D7" s="348" t="s">
        <v>2</v>
      </c>
    </row>
    <row r="8" spans="1:4" ht="28.5" customHeight="1" x14ac:dyDescent="0.25">
      <c r="A8" s="349" t="s">
        <v>40</v>
      </c>
      <c r="B8" s="349" t="s">
        <v>271</v>
      </c>
      <c r="C8" s="350" t="s">
        <v>272</v>
      </c>
      <c r="D8" s="350" t="s">
        <v>273</v>
      </c>
    </row>
    <row r="9" spans="1:4" s="352" customFormat="1" ht="10.5" customHeight="1" x14ac:dyDescent="0.25">
      <c r="A9" s="351">
        <v>1</v>
      </c>
      <c r="B9" s="351">
        <v>2</v>
      </c>
      <c r="C9" s="351">
        <v>3</v>
      </c>
      <c r="D9" s="351">
        <v>4</v>
      </c>
    </row>
    <row r="10" spans="1:4" ht="15.75" customHeight="1" x14ac:dyDescent="0.25">
      <c r="A10" s="532" t="s">
        <v>274</v>
      </c>
      <c r="B10" s="532"/>
      <c r="C10" s="353"/>
      <c r="D10" s="354">
        <f>SUM(D11,D14,D15,D17,D18,D19,D20,D21,D22,D23,D26)</f>
        <v>283467123.60000002</v>
      </c>
    </row>
    <row r="11" spans="1:4" ht="15.75" customHeight="1" x14ac:dyDescent="0.25">
      <c r="A11" s="355" t="s">
        <v>275</v>
      </c>
      <c r="B11" s="356" t="s">
        <v>276</v>
      </c>
      <c r="C11" s="357" t="s">
        <v>277</v>
      </c>
      <c r="D11" s="358">
        <f>SUM(D12:D13)</f>
        <v>162782418.18000001</v>
      </c>
    </row>
    <row r="12" spans="1:4" ht="15.75" customHeight="1" x14ac:dyDescent="0.25">
      <c r="A12" s="359" t="s">
        <v>278</v>
      </c>
      <c r="B12" s="360" t="s">
        <v>279</v>
      </c>
      <c r="C12" s="361"/>
      <c r="D12" s="362">
        <v>131864418.18000001</v>
      </c>
    </row>
    <row r="13" spans="1:4" ht="14.25" customHeight="1" x14ac:dyDescent="0.25">
      <c r="A13" s="363" t="s">
        <v>280</v>
      </c>
      <c r="B13" s="364" t="s">
        <v>281</v>
      </c>
      <c r="C13" s="365"/>
      <c r="D13" s="366">
        <v>30918000</v>
      </c>
    </row>
    <row r="14" spans="1:4" ht="25.5" x14ac:dyDescent="0.25">
      <c r="A14" s="359" t="s">
        <v>282</v>
      </c>
      <c r="B14" s="367" t="s">
        <v>283</v>
      </c>
      <c r="C14" s="368" t="s">
        <v>284</v>
      </c>
      <c r="D14" s="362"/>
    </row>
    <row r="15" spans="1:4" ht="39.75" customHeight="1" x14ac:dyDescent="0.25">
      <c r="A15" s="369" t="s">
        <v>285</v>
      </c>
      <c r="B15" s="370" t="s">
        <v>286</v>
      </c>
      <c r="C15" s="357" t="s">
        <v>287</v>
      </c>
      <c r="D15" s="358">
        <f>4073185+2347654.7+791378.95+433104.1+628472.61</f>
        <v>8273795.3600000003</v>
      </c>
    </row>
    <row r="16" spans="1:4" ht="4.5" customHeight="1" x14ac:dyDescent="0.25">
      <c r="A16" s="371"/>
      <c r="B16" s="372"/>
      <c r="C16" s="361"/>
      <c r="D16" s="362"/>
    </row>
    <row r="17" spans="1:4" ht="32.25" customHeight="1" x14ac:dyDescent="0.25">
      <c r="A17" s="373" t="s">
        <v>288</v>
      </c>
      <c r="B17" s="374" t="s">
        <v>289</v>
      </c>
      <c r="C17" s="375" t="s">
        <v>290</v>
      </c>
      <c r="D17" s="376">
        <f>707170.04+393727.38+19302.1+22119.09+30019.82+250000+1474209.59+214434.17</f>
        <v>3110982.1900000004</v>
      </c>
    </row>
    <row r="18" spans="1:4" ht="34.5" customHeight="1" x14ac:dyDescent="0.25">
      <c r="A18" s="363" t="s">
        <v>291</v>
      </c>
      <c r="B18" s="377" t="s">
        <v>292</v>
      </c>
      <c r="C18" s="378" t="s">
        <v>293</v>
      </c>
      <c r="D18" s="366">
        <v>62871389.200000003</v>
      </c>
    </row>
    <row r="19" spans="1:4" ht="14.25" customHeight="1" x14ac:dyDescent="0.25">
      <c r="A19" s="379" t="s">
        <v>294</v>
      </c>
      <c r="B19" s="380" t="s">
        <v>295</v>
      </c>
      <c r="C19" s="381" t="s">
        <v>296</v>
      </c>
      <c r="D19" s="366"/>
    </row>
    <row r="20" spans="1:4" ht="15" customHeight="1" x14ac:dyDescent="0.25">
      <c r="A20" s="373" t="s">
        <v>297</v>
      </c>
      <c r="B20" s="382" t="s">
        <v>298</v>
      </c>
      <c r="C20" s="375" t="s">
        <v>299</v>
      </c>
      <c r="D20" s="376"/>
    </row>
    <row r="21" spans="1:4" ht="16.5" customHeight="1" x14ac:dyDescent="0.25">
      <c r="A21" s="373" t="s">
        <v>300</v>
      </c>
      <c r="B21" s="382" t="s">
        <v>301</v>
      </c>
      <c r="C21" s="375" t="s">
        <v>302</v>
      </c>
      <c r="D21" s="376"/>
    </row>
    <row r="22" spans="1:4" ht="13.5" customHeight="1" x14ac:dyDescent="0.25">
      <c r="A22" s="355" t="s">
        <v>303</v>
      </c>
      <c r="B22" s="383" t="s">
        <v>304</v>
      </c>
      <c r="C22" s="353" t="s">
        <v>305</v>
      </c>
      <c r="D22" s="358"/>
    </row>
    <row r="23" spans="1:4" ht="13.5" customHeight="1" x14ac:dyDescent="0.25">
      <c r="A23" s="355" t="s">
        <v>306</v>
      </c>
      <c r="B23" s="383" t="s">
        <v>307</v>
      </c>
      <c r="C23" s="353" t="s">
        <v>308</v>
      </c>
      <c r="D23" s="384">
        <f>SUM(D24:D25)</f>
        <v>46428538.670000002</v>
      </c>
    </row>
    <row r="24" spans="1:4" ht="13.5" customHeight="1" x14ac:dyDescent="0.25">
      <c r="A24" s="359" t="s">
        <v>278</v>
      </c>
      <c r="B24" s="385" t="s">
        <v>279</v>
      </c>
      <c r="C24" s="368"/>
      <c r="D24" s="362">
        <f>46169402.85+12104+114852.82</f>
        <v>46296359.670000002</v>
      </c>
    </row>
    <row r="25" spans="1:4" ht="13.5" customHeight="1" x14ac:dyDescent="0.25">
      <c r="A25" s="363" t="s">
        <v>280</v>
      </c>
      <c r="B25" s="386" t="s">
        <v>281</v>
      </c>
      <c r="C25" s="378"/>
      <c r="D25" s="387">
        <v>132179</v>
      </c>
    </row>
    <row r="26" spans="1:4" ht="13.5" customHeight="1" x14ac:dyDescent="0.25">
      <c r="A26" s="359" t="s">
        <v>309</v>
      </c>
      <c r="B26" s="385" t="s">
        <v>310</v>
      </c>
      <c r="C26" s="368" t="s">
        <v>311</v>
      </c>
      <c r="D26" s="358"/>
    </row>
    <row r="27" spans="1:4" ht="13.5" customHeight="1" x14ac:dyDescent="0.25">
      <c r="A27" s="359" t="s">
        <v>278</v>
      </c>
      <c r="B27" s="385" t="s">
        <v>279</v>
      </c>
      <c r="C27" s="368"/>
      <c r="D27" s="362"/>
    </row>
    <row r="28" spans="1:4" ht="13.5" customHeight="1" x14ac:dyDescent="0.25">
      <c r="A28" s="363" t="s">
        <v>280</v>
      </c>
      <c r="B28" s="386" t="s">
        <v>281</v>
      </c>
      <c r="C28" s="378"/>
      <c r="D28" s="366"/>
    </row>
    <row r="29" spans="1:4" ht="16.5" customHeight="1" x14ac:dyDescent="0.25">
      <c r="A29" s="533" t="s">
        <v>312</v>
      </c>
      <c r="B29" s="533"/>
      <c r="C29" s="368"/>
      <c r="D29" s="388">
        <f>SUM(D30,D32,D33,D34,D35,D36,D37)</f>
        <v>93921568.200000003</v>
      </c>
    </row>
    <row r="30" spans="1:4" ht="16.5" customHeight="1" x14ac:dyDescent="0.25">
      <c r="A30" s="355" t="s">
        <v>275</v>
      </c>
      <c r="B30" s="389" t="s">
        <v>313</v>
      </c>
      <c r="C30" s="353" t="s">
        <v>314</v>
      </c>
      <c r="D30" s="358">
        <f>28918000+132179</f>
        <v>29050179</v>
      </c>
    </row>
    <row r="31" spans="1:4" ht="12.75" customHeight="1" x14ac:dyDescent="0.25">
      <c r="A31" s="379" t="s">
        <v>278</v>
      </c>
      <c r="B31" s="377" t="s">
        <v>315</v>
      </c>
      <c r="C31" s="378"/>
      <c r="D31" s="366"/>
    </row>
    <row r="32" spans="1:4" ht="24" customHeight="1" x14ac:dyDescent="0.25">
      <c r="A32" s="373" t="s">
        <v>282</v>
      </c>
      <c r="B32" s="374" t="s">
        <v>316</v>
      </c>
      <c r="C32" s="375" t="s">
        <v>317</v>
      </c>
      <c r="D32" s="376"/>
    </row>
    <row r="33" spans="1:4" ht="18.75" customHeight="1" x14ac:dyDescent="0.25">
      <c r="A33" s="373" t="s">
        <v>285</v>
      </c>
      <c r="B33" s="374" t="s">
        <v>318</v>
      </c>
      <c r="C33" s="375" t="s">
        <v>319</v>
      </c>
      <c r="D33" s="366">
        <v>62871389.200000003</v>
      </c>
    </row>
    <row r="34" spans="1:4" ht="16.5" customHeight="1" x14ac:dyDescent="0.25">
      <c r="A34" s="373" t="s">
        <v>288</v>
      </c>
      <c r="B34" s="382" t="s">
        <v>320</v>
      </c>
      <c r="C34" s="375" t="s">
        <v>321</v>
      </c>
      <c r="D34" s="376"/>
    </row>
    <row r="35" spans="1:4" ht="16.5" customHeight="1" x14ac:dyDescent="0.25">
      <c r="A35" s="373" t="s">
        <v>291</v>
      </c>
      <c r="B35" s="382" t="s">
        <v>322</v>
      </c>
      <c r="C35" s="375" t="s">
        <v>311</v>
      </c>
      <c r="D35" s="376"/>
    </row>
    <row r="36" spans="1:4" ht="16.5" customHeight="1" x14ac:dyDescent="0.25">
      <c r="A36" s="373" t="s">
        <v>294</v>
      </c>
      <c r="B36" s="382" t="s">
        <v>323</v>
      </c>
      <c r="C36" s="375" t="s">
        <v>324</v>
      </c>
      <c r="D36" s="376">
        <v>2000000</v>
      </c>
    </row>
    <row r="37" spans="1:4" ht="16.5" customHeight="1" x14ac:dyDescent="0.25">
      <c r="A37" s="373" t="s">
        <v>297</v>
      </c>
      <c r="B37" s="382" t="s">
        <v>325</v>
      </c>
      <c r="C37" s="375" t="s">
        <v>326</v>
      </c>
      <c r="D37" s="376"/>
    </row>
    <row r="38" spans="1:4" ht="12.75" customHeight="1" x14ac:dyDescent="0.25">
      <c r="A38" s="585"/>
    </row>
    <row r="39" spans="1:4" ht="12.75" customHeight="1" x14ac:dyDescent="0.25">
      <c r="A39" s="585"/>
      <c r="D39" s="391"/>
    </row>
  </sheetData>
  <mergeCells count="3">
    <mergeCell ref="A6:D6"/>
    <mergeCell ref="A10:B10"/>
    <mergeCell ref="A29:B29"/>
  </mergeCells>
  <pageMargins left="0.78740157480314965" right="0.39370078740157483" top="0.74803149606299213" bottom="0.74803149606299213" header="0.31496062992125984" footer="0.31496062992125984"/>
  <pageSetup paperSize="9" firstPageNumber="61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6D03-132A-4FEF-8D44-9D8EA56D630C}">
  <sheetPr>
    <tabColor rgb="FF33CCFF"/>
  </sheetPr>
  <dimension ref="A1:H150"/>
  <sheetViews>
    <sheetView zoomScale="130" zoomScaleNormal="130" workbookViewId="0"/>
  </sheetViews>
  <sheetFormatPr defaultRowHeight="13.5" x14ac:dyDescent="0.25"/>
  <cols>
    <col min="1" max="1" width="4.42578125" style="392" customWidth="1"/>
    <col min="2" max="2" width="5.7109375" style="392" customWidth="1"/>
    <col min="3" max="3" width="7.5703125" style="392" customWidth="1"/>
    <col min="4" max="4" width="6.140625" style="393" customWidth="1"/>
    <col min="5" max="5" width="47.42578125" style="392" customWidth="1"/>
    <col min="6" max="6" width="20.85546875" style="392" customWidth="1"/>
    <col min="7" max="7" width="9.140625" style="392" customWidth="1"/>
    <col min="8" max="8" width="12.28515625" style="392" customWidth="1"/>
    <col min="9" max="256" width="9.140625" style="392"/>
    <col min="257" max="257" width="4.42578125" style="392" customWidth="1"/>
    <col min="258" max="258" width="5.7109375" style="392" customWidth="1"/>
    <col min="259" max="259" width="7.5703125" style="392" customWidth="1"/>
    <col min="260" max="260" width="6.5703125" style="392" customWidth="1"/>
    <col min="261" max="261" width="47.42578125" style="392" customWidth="1"/>
    <col min="262" max="262" width="22.28515625" style="392" customWidth="1"/>
    <col min="263" max="263" width="9.140625" style="392"/>
    <col min="264" max="264" width="12.28515625" style="392" customWidth="1"/>
    <col min="265" max="512" width="9.140625" style="392"/>
    <col min="513" max="513" width="4.42578125" style="392" customWidth="1"/>
    <col min="514" max="514" width="5.7109375" style="392" customWidth="1"/>
    <col min="515" max="515" width="7.5703125" style="392" customWidth="1"/>
    <col min="516" max="516" width="6.5703125" style="392" customWidth="1"/>
    <col min="517" max="517" width="47.42578125" style="392" customWidth="1"/>
    <col min="518" max="518" width="22.28515625" style="392" customWidth="1"/>
    <col min="519" max="519" width="9.140625" style="392"/>
    <col min="520" max="520" width="12.28515625" style="392" customWidth="1"/>
    <col min="521" max="768" width="9.140625" style="392"/>
    <col min="769" max="769" width="4.42578125" style="392" customWidth="1"/>
    <col min="770" max="770" width="5.7109375" style="392" customWidth="1"/>
    <col min="771" max="771" width="7.5703125" style="392" customWidth="1"/>
    <col min="772" max="772" width="6.5703125" style="392" customWidth="1"/>
    <col min="773" max="773" width="47.42578125" style="392" customWidth="1"/>
    <col min="774" max="774" width="22.28515625" style="392" customWidth="1"/>
    <col min="775" max="775" width="9.140625" style="392"/>
    <col min="776" max="776" width="12.28515625" style="392" customWidth="1"/>
    <col min="777" max="1024" width="9.140625" style="392"/>
    <col min="1025" max="1025" width="4.42578125" style="392" customWidth="1"/>
    <col min="1026" max="1026" width="5.7109375" style="392" customWidth="1"/>
    <col min="1027" max="1027" width="7.5703125" style="392" customWidth="1"/>
    <col min="1028" max="1028" width="6.5703125" style="392" customWidth="1"/>
    <col min="1029" max="1029" width="47.42578125" style="392" customWidth="1"/>
    <col min="1030" max="1030" width="22.28515625" style="392" customWidth="1"/>
    <col min="1031" max="1031" width="9.140625" style="392"/>
    <col min="1032" max="1032" width="12.28515625" style="392" customWidth="1"/>
    <col min="1033" max="1280" width="9.140625" style="392"/>
    <col min="1281" max="1281" width="4.42578125" style="392" customWidth="1"/>
    <col min="1282" max="1282" width="5.7109375" style="392" customWidth="1"/>
    <col min="1283" max="1283" width="7.5703125" style="392" customWidth="1"/>
    <col min="1284" max="1284" width="6.5703125" style="392" customWidth="1"/>
    <col min="1285" max="1285" width="47.42578125" style="392" customWidth="1"/>
    <col min="1286" max="1286" width="22.28515625" style="392" customWidth="1"/>
    <col min="1287" max="1287" width="9.140625" style="392"/>
    <col min="1288" max="1288" width="12.28515625" style="392" customWidth="1"/>
    <col min="1289" max="1536" width="9.140625" style="392"/>
    <col min="1537" max="1537" width="4.42578125" style="392" customWidth="1"/>
    <col min="1538" max="1538" width="5.7109375" style="392" customWidth="1"/>
    <col min="1539" max="1539" width="7.5703125" style="392" customWidth="1"/>
    <col min="1540" max="1540" width="6.5703125" style="392" customWidth="1"/>
    <col min="1541" max="1541" width="47.42578125" style="392" customWidth="1"/>
    <col min="1542" max="1542" width="22.28515625" style="392" customWidth="1"/>
    <col min="1543" max="1543" width="9.140625" style="392"/>
    <col min="1544" max="1544" width="12.28515625" style="392" customWidth="1"/>
    <col min="1545" max="1792" width="9.140625" style="392"/>
    <col min="1793" max="1793" width="4.42578125" style="392" customWidth="1"/>
    <col min="1794" max="1794" width="5.7109375" style="392" customWidth="1"/>
    <col min="1795" max="1795" width="7.5703125" style="392" customWidth="1"/>
    <col min="1796" max="1796" width="6.5703125" style="392" customWidth="1"/>
    <col min="1797" max="1797" width="47.42578125" style="392" customWidth="1"/>
    <col min="1798" max="1798" width="22.28515625" style="392" customWidth="1"/>
    <col min="1799" max="1799" width="9.140625" style="392"/>
    <col min="1800" max="1800" width="12.28515625" style="392" customWidth="1"/>
    <col min="1801" max="2048" width="9.140625" style="392"/>
    <col min="2049" max="2049" width="4.42578125" style="392" customWidth="1"/>
    <col min="2050" max="2050" width="5.7109375" style="392" customWidth="1"/>
    <col min="2051" max="2051" width="7.5703125" style="392" customWidth="1"/>
    <col min="2052" max="2052" width="6.5703125" style="392" customWidth="1"/>
    <col min="2053" max="2053" width="47.42578125" style="392" customWidth="1"/>
    <col min="2054" max="2054" width="22.28515625" style="392" customWidth="1"/>
    <col min="2055" max="2055" width="9.140625" style="392"/>
    <col min="2056" max="2056" width="12.28515625" style="392" customWidth="1"/>
    <col min="2057" max="2304" width="9.140625" style="392"/>
    <col min="2305" max="2305" width="4.42578125" style="392" customWidth="1"/>
    <col min="2306" max="2306" width="5.7109375" style="392" customWidth="1"/>
    <col min="2307" max="2307" width="7.5703125" style="392" customWidth="1"/>
    <col min="2308" max="2308" width="6.5703125" style="392" customWidth="1"/>
    <col min="2309" max="2309" width="47.42578125" style="392" customWidth="1"/>
    <col min="2310" max="2310" width="22.28515625" style="392" customWidth="1"/>
    <col min="2311" max="2311" width="9.140625" style="392"/>
    <col min="2312" max="2312" width="12.28515625" style="392" customWidth="1"/>
    <col min="2313" max="2560" width="9.140625" style="392"/>
    <col min="2561" max="2561" width="4.42578125" style="392" customWidth="1"/>
    <col min="2562" max="2562" width="5.7109375" style="392" customWidth="1"/>
    <col min="2563" max="2563" width="7.5703125" style="392" customWidth="1"/>
    <col min="2564" max="2564" width="6.5703125" style="392" customWidth="1"/>
    <col min="2565" max="2565" width="47.42578125" style="392" customWidth="1"/>
    <col min="2566" max="2566" width="22.28515625" style="392" customWidth="1"/>
    <col min="2567" max="2567" width="9.140625" style="392"/>
    <col min="2568" max="2568" width="12.28515625" style="392" customWidth="1"/>
    <col min="2569" max="2816" width="9.140625" style="392"/>
    <col min="2817" max="2817" width="4.42578125" style="392" customWidth="1"/>
    <col min="2818" max="2818" width="5.7109375" style="392" customWidth="1"/>
    <col min="2819" max="2819" width="7.5703125" style="392" customWidth="1"/>
    <col min="2820" max="2820" width="6.5703125" style="392" customWidth="1"/>
    <col min="2821" max="2821" width="47.42578125" style="392" customWidth="1"/>
    <col min="2822" max="2822" width="22.28515625" style="392" customWidth="1"/>
    <col min="2823" max="2823" width="9.140625" style="392"/>
    <col min="2824" max="2824" width="12.28515625" style="392" customWidth="1"/>
    <col min="2825" max="3072" width="9.140625" style="392"/>
    <col min="3073" max="3073" width="4.42578125" style="392" customWidth="1"/>
    <col min="3074" max="3074" width="5.7109375" style="392" customWidth="1"/>
    <col min="3075" max="3075" width="7.5703125" style="392" customWidth="1"/>
    <col min="3076" max="3076" width="6.5703125" style="392" customWidth="1"/>
    <col min="3077" max="3077" width="47.42578125" style="392" customWidth="1"/>
    <col min="3078" max="3078" width="22.28515625" style="392" customWidth="1"/>
    <col min="3079" max="3079" width="9.140625" style="392"/>
    <col min="3080" max="3080" width="12.28515625" style="392" customWidth="1"/>
    <col min="3081" max="3328" width="9.140625" style="392"/>
    <col min="3329" max="3329" width="4.42578125" style="392" customWidth="1"/>
    <col min="3330" max="3330" width="5.7109375" style="392" customWidth="1"/>
    <col min="3331" max="3331" width="7.5703125" style="392" customWidth="1"/>
    <col min="3332" max="3332" width="6.5703125" style="392" customWidth="1"/>
    <col min="3333" max="3333" width="47.42578125" style="392" customWidth="1"/>
    <col min="3334" max="3334" width="22.28515625" style="392" customWidth="1"/>
    <col min="3335" max="3335" width="9.140625" style="392"/>
    <col min="3336" max="3336" width="12.28515625" style="392" customWidth="1"/>
    <col min="3337" max="3584" width="9.140625" style="392"/>
    <col min="3585" max="3585" width="4.42578125" style="392" customWidth="1"/>
    <col min="3586" max="3586" width="5.7109375" style="392" customWidth="1"/>
    <col min="3587" max="3587" width="7.5703125" style="392" customWidth="1"/>
    <col min="3588" max="3588" width="6.5703125" style="392" customWidth="1"/>
    <col min="3589" max="3589" width="47.42578125" style="392" customWidth="1"/>
    <col min="3590" max="3590" width="22.28515625" style="392" customWidth="1"/>
    <col min="3591" max="3591" width="9.140625" style="392"/>
    <col min="3592" max="3592" width="12.28515625" style="392" customWidth="1"/>
    <col min="3593" max="3840" width="9.140625" style="392"/>
    <col min="3841" max="3841" width="4.42578125" style="392" customWidth="1"/>
    <col min="3842" max="3842" width="5.7109375" style="392" customWidth="1"/>
    <col min="3843" max="3843" width="7.5703125" style="392" customWidth="1"/>
    <col min="3844" max="3844" width="6.5703125" style="392" customWidth="1"/>
    <col min="3845" max="3845" width="47.42578125" style="392" customWidth="1"/>
    <col min="3846" max="3846" width="22.28515625" style="392" customWidth="1"/>
    <col min="3847" max="3847" width="9.140625" style="392"/>
    <col min="3848" max="3848" width="12.28515625" style="392" customWidth="1"/>
    <col min="3849" max="4096" width="9.140625" style="392"/>
    <col min="4097" max="4097" width="4.42578125" style="392" customWidth="1"/>
    <col min="4098" max="4098" width="5.7109375" style="392" customWidth="1"/>
    <col min="4099" max="4099" width="7.5703125" style="392" customWidth="1"/>
    <col min="4100" max="4100" width="6.5703125" style="392" customWidth="1"/>
    <col min="4101" max="4101" width="47.42578125" style="392" customWidth="1"/>
    <col min="4102" max="4102" width="22.28515625" style="392" customWidth="1"/>
    <col min="4103" max="4103" width="9.140625" style="392"/>
    <col min="4104" max="4104" width="12.28515625" style="392" customWidth="1"/>
    <col min="4105" max="4352" width="9.140625" style="392"/>
    <col min="4353" max="4353" width="4.42578125" style="392" customWidth="1"/>
    <col min="4354" max="4354" width="5.7109375" style="392" customWidth="1"/>
    <col min="4355" max="4355" width="7.5703125" style="392" customWidth="1"/>
    <col min="4356" max="4356" width="6.5703125" style="392" customWidth="1"/>
    <col min="4357" max="4357" width="47.42578125" style="392" customWidth="1"/>
    <col min="4358" max="4358" width="22.28515625" style="392" customWidth="1"/>
    <col min="4359" max="4359" width="9.140625" style="392"/>
    <col min="4360" max="4360" width="12.28515625" style="392" customWidth="1"/>
    <col min="4361" max="4608" width="9.140625" style="392"/>
    <col min="4609" max="4609" width="4.42578125" style="392" customWidth="1"/>
    <col min="4610" max="4610" width="5.7109375" style="392" customWidth="1"/>
    <col min="4611" max="4611" width="7.5703125" style="392" customWidth="1"/>
    <col min="4612" max="4612" width="6.5703125" style="392" customWidth="1"/>
    <col min="4613" max="4613" width="47.42578125" style="392" customWidth="1"/>
    <col min="4614" max="4614" width="22.28515625" style="392" customWidth="1"/>
    <col min="4615" max="4615" width="9.140625" style="392"/>
    <col min="4616" max="4616" width="12.28515625" style="392" customWidth="1"/>
    <col min="4617" max="4864" width="9.140625" style="392"/>
    <col min="4865" max="4865" width="4.42578125" style="392" customWidth="1"/>
    <col min="4866" max="4866" width="5.7109375" style="392" customWidth="1"/>
    <col min="4867" max="4867" width="7.5703125" style="392" customWidth="1"/>
    <col min="4868" max="4868" width="6.5703125" style="392" customWidth="1"/>
    <col min="4869" max="4869" width="47.42578125" style="392" customWidth="1"/>
    <col min="4870" max="4870" width="22.28515625" style="392" customWidth="1"/>
    <col min="4871" max="4871" width="9.140625" style="392"/>
    <col min="4872" max="4872" width="12.28515625" style="392" customWidth="1"/>
    <col min="4873" max="5120" width="9.140625" style="392"/>
    <col min="5121" max="5121" width="4.42578125" style="392" customWidth="1"/>
    <col min="5122" max="5122" width="5.7109375" style="392" customWidth="1"/>
    <col min="5123" max="5123" width="7.5703125" style="392" customWidth="1"/>
    <col min="5124" max="5124" width="6.5703125" style="392" customWidth="1"/>
    <col min="5125" max="5125" width="47.42578125" style="392" customWidth="1"/>
    <col min="5126" max="5126" width="22.28515625" style="392" customWidth="1"/>
    <col min="5127" max="5127" width="9.140625" style="392"/>
    <col min="5128" max="5128" width="12.28515625" style="392" customWidth="1"/>
    <col min="5129" max="5376" width="9.140625" style="392"/>
    <col min="5377" max="5377" width="4.42578125" style="392" customWidth="1"/>
    <col min="5378" max="5378" width="5.7109375" style="392" customWidth="1"/>
    <col min="5379" max="5379" width="7.5703125" style="392" customWidth="1"/>
    <col min="5380" max="5380" width="6.5703125" style="392" customWidth="1"/>
    <col min="5381" max="5381" width="47.42578125" style="392" customWidth="1"/>
    <col min="5382" max="5382" width="22.28515625" style="392" customWidth="1"/>
    <col min="5383" max="5383" width="9.140625" style="392"/>
    <col min="5384" max="5384" width="12.28515625" style="392" customWidth="1"/>
    <col min="5385" max="5632" width="9.140625" style="392"/>
    <col min="5633" max="5633" width="4.42578125" style="392" customWidth="1"/>
    <col min="5634" max="5634" width="5.7109375" style="392" customWidth="1"/>
    <col min="5635" max="5635" width="7.5703125" style="392" customWidth="1"/>
    <col min="5636" max="5636" width="6.5703125" style="392" customWidth="1"/>
    <col min="5637" max="5637" width="47.42578125" style="392" customWidth="1"/>
    <col min="5638" max="5638" width="22.28515625" style="392" customWidth="1"/>
    <col min="5639" max="5639" width="9.140625" style="392"/>
    <col min="5640" max="5640" width="12.28515625" style="392" customWidth="1"/>
    <col min="5641" max="5888" width="9.140625" style="392"/>
    <col min="5889" max="5889" width="4.42578125" style="392" customWidth="1"/>
    <col min="5890" max="5890" width="5.7109375" style="392" customWidth="1"/>
    <col min="5891" max="5891" width="7.5703125" style="392" customWidth="1"/>
    <col min="5892" max="5892" width="6.5703125" style="392" customWidth="1"/>
    <col min="5893" max="5893" width="47.42578125" style="392" customWidth="1"/>
    <col min="5894" max="5894" width="22.28515625" style="392" customWidth="1"/>
    <col min="5895" max="5895" width="9.140625" style="392"/>
    <col min="5896" max="5896" width="12.28515625" style="392" customWidth="1"/>
    <col min="5897" max="6144" width="9.140625" style="392"/>
    <col min="6145" max="6145" width="4.42578125" style="392" customWidth="1"/>
    <col min="6146" max="6146" width="5.7109375" style="392" customWidth="1"/>
    <col min="6147" max="6147" width="7.5703125" style="392" customWidth="1"/>
    <col min="6148" max="6148" width="6.5703125" style="392" customWidth="1"/>
    <col min="6149" max="6149" width="47.42578125" style="392" customWidth="1"/>
    <col min="6150" max="6150" width="22.28515625" style="392" customWidth="1"/>
    <col min="6151" max="6151" width="9.140625" style="392"/>
    <col min="6152" max="6152" width="12.28515625" style="392" customWidth="1"/>
    <col min="6153" max="6400" width="9.140625" style="392"/>
    <col min="6401" max="6401" width="4.42578125" style="392" customWidth="1"/>
    <col min="6402" max="6402" width="5.7109375" style="392" customWidth="1"/>
    <col min="6403" max="6403" width="7.5703125" style="392" customWidth="1"/>
    <col min="6404" max="6404" width="6.5703125" style="392" customWidth="1"/>
    <col min="6405" max="6405" width="47.42578125" style="392" customWidth="1"/>
    <col min="6406" max="6406" width="22.28515625" style="392" customWidth="1"/>
    <col min="6407" max="6407" width="9.140625" style="392"/>
    <col min="6408" max="6408" width="12.28515625" style="392" customWidth="1"/>
    <col min="6409" max="6656" width="9.140625" style="392"/>
    <col min="6657" max="6657" width="4.42578125" style="392" customWidth="1"/>
    <col min="6658" max="6658" width="5.7109375" style="392" customWidth="1"/>
    <col min="6659" max="6659" width="7.5703125" style="392" customWidth="1"/>
    <col min="6660" max="6660" width="6.5703125" style="392" customWidth="1"/>
    <col min="6661" max="6661" width="47.42578125" style="392" customWidth="1"/>
    <col min="6662" max="6662" width="22.28515625" style="392" customWidth="1"/>
    <col min="6663" max="6663" width="9.140625" style="392"/>
    <col min="6664" max="6664" width="12.28515625" style="392" customWidth="1"/>
    <col min="6665" max="6912" width="9.140625" style="392"/>
    <col min="6913" max="6913" width="4.42578125" style="392" customWidth="1"/>
    <col min="6914" max="6914" width="5.7109375" style="392" customWidth="1"/>
    <col min="6915" max="6915" width="7.5703125" style="392" customWidth="1"/>
    <col min="6916" max="6916" width="6.5703125" style="392" customWidth="1"/>
    <col min="6917" max="6917" width="47.42578125" style="392" customWidth="1"/>
    <col min="6918" max="6918" width="22.28515625" style="392" customWidth="1"/>
    <col min="6919" max="6919" width="9.140625" style="392"/>
    <col min="6920" max="6920" width="12.28515625" style="392" customWidth="1"/>
    <col min="6921" max="7168" width="9.140625" style="392"/>
    <col min="7169" max="7169" width="4.42578125" style="392" customWidth="1"/>
    <col min="7170" max="7170" width="5.7109375" style="392" customWidth="1"/>
    <col min="7171" max="7171" width="7.5703125" style="392" customWidth="1"/>
    <col min="7172" max="7172" width="6.5703125" style="392" customWidth="1"/>
    <col min="7173" max="7173" width="47.42578125" style="392" customWidth="1"/>
    <col min="7174" max="7174" width="22.28515625" style="392" customWidth="1"/>
    <col min="7175" max="7175" width="9.140625" style="392"/>
    <col min="7176" max="7176" width="12.28515625" style="392" customWidth="1"/>
    <col min="7177" max="7424" width="9.140625" style="392"/>
    <col min="7425" max="7425" width="4.42578125" style="392" customWidth="1"/>
    <col min="7426" max="7426" width="5.7109375" style="392" customWidth="1"/>
    <col min="7427" max="7427" width="7.5703125" style="392" customWidth="1"/>
    <col min="7428" max="7428" width="6.5703125" style="392" customWidth="1"/>
    <col min="7429" max="7429" width="47.42578125" style="392" customWidth="1"/>
    <col min="7430" max="7430" width="22.28515625" style="392" customWidth="1"/>
    <col min="7431" max="7431" width="9.140625" style="392"/>
    <col min="7432" max="7432" width="12.28515625" style="392" customWidth="1"/>
    <col min="7433" max="7680" width="9.140625" style="392"/>
    <col min="7681" max="7681" width="4.42578125" style="392" customWidth="1"/>
    <col min="7682" max="7682" width="5.7109375" style="392" customWidth="1"/>
    <col min="7683" max="7683" width="7.5703125" style="392" customWidth="1"/>
    <col min="7684" max="7684" width="6.5703125" style="392" customWidth="1"/>
    <col min="7685" max="7685" width="47.42578125" style="392" customWidth="1"/>
    <col min="7686" max="7686" width="22.28515625" style="392" customWidth="1"/>
    <col min="7687" max="7687" width="9.140625" style="392"/>
    <col min="7688" max="7688" width="12.28515625" style="392" customWidth="1"/>
    <col min="7689" max="7936" width="9.140625" style="392"/>
    <col min="7937" max="7937" width="4.42578125" style="392" customWidth="1"/>
    <col min="7938" max="7938" width="5.7109375" style="392" customWidth="1"/>
    <col min="7939" max="7939" width="7.5703125" style="392" customWidth="1"/>
    <col min="7940" max="7940" width="6.5703125" style="392" customWidth="1"/>
    <col min="7941" max="7941" width="47.42578125" style="392" customWidth="1"/>
    <col min="7942" max="7942" width="22.28515625" style="392" customWidth="1"/>
    <col min="7943" max="7943" width="9.140625" style="392"/>
    <col min="7944" max="7944" width="12.28515625" style="392" customWidth="1"/>
    <col min="7945" max="8192" width="9.140625" style="392"/>
    <col min="8193" max="8193" width="4.42578125" style="392" customWidth="1"/>
    <col min="8194" max="8194" width="5.7109375" style="392" customWidth="1"/>
    <col min="8195" max="8195" width="7.5703125" style="392" customWidth="1"/>
    <col min="8196" max="8196" width="6.5703125" style="392" customWidth="1"/>
    <col min="8197" max="8197" width="47.42578125" style="392" customWidth="1"/>
    <col min="8198" max="8198" width="22.28515625" style="392" customWidth="1"/>
    <col min="8199" max="8199" width="9.140625" style="392"/>
    <col min="8200" max="8200" width="12.28515625" style="392" customWidth="1"/>
    <col min="8201" max="8448" width="9.140625" style="392"/>
    <col min="8449" max="8449" width="4.42578125" style="392" customWidth="1"/>
    <col min="8450" max="8450" width="5.7109375" style="392" customWidth="1"/>
    <col min="8451" max="8451" width="7.5703125" style="392" customWidth="1"/>
    <col min="8452" max="8452" width="6.5703125" style="392" customWidth="1"/>
    <col min="8453" max="8453" width="47.42578125" style="392" customWidth="1"/>
    <col min="8454" max="8454" width="22.28515625" style="392" customWidth="1"/>
    <col min="8455" max="8455" width="9.140625" style="392"/>
    <col min="8456" max="8456" width="12.28515625" style="392" customWidth="1"/>
    <col min="8457" max="8704" width="9.140625" style="392"/>
    <col min="8705" max="8705" width="4.42578125" style="392" customWidth="1"/>
    <col min="8706" max="8706" width="5.7109375" style="392" customWidth="1"/>
    <col min="8707" max="8707" width="7.5703125" style="392" customWidth="1"/>
    <col min="8708" max="8708" width="6.5703125" style="392" customWidth="1"/>
    <col min="8709" max="8709" width="47.42578125" style="392" customWidth="1"/>
    <col min="8710" max="8710" width="22.28515625" style="392" customWidth="1"/>
    <col min="8711" max="8711" width="9.140625" style="392"/>
    <col min="8712" max="8712" width="12.28515625" style="392" customWidth="1"/>
    <col min="8713" max="8960" width="9.140625" style="392"/>
    <col min="8961" max="8961" width="4.42578125" style="392" customWidth="1"/>
    <col min="8962" max="8962" width="5.7109375" style="392" customWidth="1"/>
    <col min="8963" max="8963" width="7.5703125" style="392" customWidth="1"/>
    <col min="8964" max="8964" width="6.5703125" style="392" customWidth="1"/>
    <col min="8965" max="8965" width="47.42578125" style="392" customWidth="1"/>
    <col min="8966" max="8966" width="22.28515625" style="392" customWidth="1"/>
    <col min="8967" max="8967" width="9.140625" style="392"/>
    <col min="8968" max="8968" width="12.28515625" style="392" customWidth="1"/>
    <col min="8969" max="9216" width="9.140625" style="392"/>
    <col min="9217" max="9217" width="4.42578125" style="392" customWidth="1"/>
    <col min="9218" max="9218" width="5.7109375" style="392" customWidth="1"/>
    <col min="9219" max="9219" width="7.5703125" style="392" customWidth="1"/>
    <col min="9220" max="9220" width="6.5703125" style="392" customWidth="1"/>
    <col min="9221" max="9221" width="47.42578125" style="392" customWidth="1"/>
    <col min="9222" max="9222" width="22.28515625" style="392" customWidth="1"/>
    <col min="9223" max="9223" width="9.140625" style="392"/>
    <col min="9224" max="9224" width="12.28515625" style="392" customWidth="1"/>
    <col min="9225" max="9472" width="9.140625" style="392"/>
    <col min="9473" max="9473" width="4.42578125" style="392" customWidth="1"/>
    <col min="9474" max="9474" width="5.7109375" style="392" customWidth="1"/>
    <col min="9475" max="9475" width="7.5703125" style="392" customWidth="1"/>
    <col min="9476" max="9476" width="6.5703125" style="392" customWidth="1"/>
    <col min="9477" max="9477" width="47.42578125" style="392" customWidth="1"/>
    <col min="9478" max="9478" width="22.28515625" style="392" customWidth="1"/>
    <col min="9479" max="9479" width="9.140625" style="392"/>
    <col min="9480" max="9480" width="12.28515625" style="392" customWidth="1"/>
    <col min="9481" max="9728" width="9.140625" style="392"/>
    <col min="9729" max="9729" width="4.42578125" style="392" customWidth="1"/>
    <col min="9730" max="9730" width="5.7109375" style="392" customWidth="1"/>
    <col min="9731" max="9731" width="7.5703125" style="392" customWidth="1"/>
    <col min="9732" max="9732" width="6.5703125" style="392" customWidth="1"/>
    <col min="9733" max="9733" width="47.42578125" style="392" customWidth="1"/>
    <col min="9734" max="9734" width="22.28515625" style="392" customWidth="1"/>
    <col min="9735" max="9735" width="9.140625" style="392"/>
    <col min="9736" max="9736" width="12.28515625" style="392" customWidth="1"/>
    <col min="9737" max="9984" width="9.140625" style="392"/>
    <col min="9985" max="9985" width="4.42578125" style="392" customWidth="1"/>
    <col min="9986" max="9986" width="5.7109375" style="392" customWidth="1"/>
    <col min="9987" max="9987" width="7.5703125" style="392" customWidth="1"/>
    <col min="9988" max="9988" width="6.5703125" style="392" customWidth="1"/>
    <col min="9989" max="9989" width="47.42578125" style="392" customWidth="1"/>
    <col min="9990" max="9990" width="22.28515625" style="392" customWidth="1"/>
    <col min="9991" max="9991" width="9.140625" style="392"/>
    <col min="9992" max="9992" width="12.28515625" style="392" customWidth="1"/>
    <col min="9993" max="10240" width="9.140625" style="392"/>
    <col min="10241" max="10241" width="4.42578125" style="392" customWidth="1"/>
    <col min="10242" max="10242" width="5.7109375" style="392" customWidth="1"/>
    <col min="10243" max="10243" width="7.5703125" style="392" customWidth="1"/>
    <col min="10244" max="10244" width="6.5703125" style="392" customWidth="1"/>
    <col min="10245" max="10245" width="47.42578125" style="392" customWidth="1"/>
    <col min="10246" max="10246" width="22.28515625" style="392" customWidth="1"/>
    <col min="10247" max="10247" width="9.140625" style="392"/>
    <col min="10248" max="10248" width="12.28515625" style="392" customWidth="1"/>
    <col min="10249" max="10496" width="9.140625" style="392"/>
    <col min="10497" max="10497" width="4.42578125" style="392" customWidth="1"/>
    <col min="10498" max="10498" width="5.7109375" style="392" customWidth="1"/>
    <col min="10499" max="10499" width="7.5703125" style="392" customWidth="1"/>
    <col min="10500" max="10500" width="6.5703125" style="392" customWidth="1"/>
    <col min="10501" max="10501" width="47.42578125" style="392" customWidth="1"/>
    <col min="10502" max="10502" width="22.28515625" style="392" customWidth="1"/>
    <col min="10503" max="10503" width="9.140625" style="392"/>
    <col min="10504" max="10504" width="12.28515625" style="392" customWidth="1"/>
    <col min="10505" max="10752" width="9.140625" style="392"/>
    <col min="10753" max="10753" width="4.42578125" style="392" customWidth="1"/>
    <col min="10754" max="10754" width="5.7109375" style="392" customWidth="1"/>
    <col min="10755" max="10755" width="7.5703125" style="392" customWidth="1"/>
    <col min="10756" max="10756" width="6.5703125" style="392" customWidth="1"/>
    <col min="10757" max="10757" width="47.42578125" style="392" customWidth="1"/>
    <col min="10758" max="10758" width="22.28515625" style="392" customWidth="1"/>
    <col min="10759" max="10759" width="9.140625" style="392"/>
    <col min="10760" max="10760" width="12.28515625" style="392" customWidth="1"/>
    <col min="10761" max="11008" width="9.140625" style="392"/>
    <col min="11009" max="11009" width="4.42578125" style="392" customWidth="1"/>
    <col min="11010" max="11010" width="5.7109375" style="392" customWidth="1"/>
    <col min="11011" max="11011" width="7.5703125" style="392" customWidth="1"/>
    <col min="11012" max="11012" width="6.5703125" style="392" customWidth="1"/>
    <col min="11013" max="11013" width="47.42578125" style="392" customWidth="1"/>
    <col min="11014" max="11014" width="22.28515625" style="392" customWidth="1"/>
    <col min="11015" max="11015" width="9.140625" style="392"/>
    <col min="11016" max="11016" width="12.28515625" style="392" customWidth="1"/>
    <col min="11017" max="11264" width="9.140625" style="392"/>
    <col min="11265" max="11265" width="4.42578125" style="392" customWidth="1"/>
    <col min="11266" max="11266" width="5.7109375" style="392" customWidth="1"/>
    <col min="11267" max="11267" width="7.5703125" style="392" customWidth="1"/>
    <col min="11268" max="11268" width="6.5703125" style="392" customWidth="1"/>
    <col min="11269" max="11269" width="47.42578125" style="392" customWidth="1"/>
    <col min="11270" max="11270" width="22.28515625" style="392" customWidth="1"/>
    <col min="11271" max="11271" width="9.140625" style="392"/>
    <col min="11272" max="11272" width="12.28515625" style="392" customWidth="1"/>
    <col min="11273" max="11520" width="9.140625" style="392"/>
    <col min="11521" max="11521" width="4.42578125" style="392" customWidth="1"/>
    <col min="11522" max="11522" width="5.7109375" style="392" customWidth="1"/>
    <col min="11523" max="11523" width="7.5703125" style="392" customWidth="1"/>
    <col min="11524" max="11524" width="6.5703125" style="392" customWidth="1"/>
    <col min="11525" max="11525" width="47.42578125" style="392" customWidth="1"/>
    <col min="11526" max="11526" width="22.28515625" style="392" customWidth="1"/>
    <col min="11527" max="11527" width="9.140625" style="392"/>
    <col min="11528" max="11528" width="12.28515625" style="392" customWidth="1"/>
    <col min="11529" max="11776" width="9.140625" style="392"/>
    <col min="11777" max="11777" width="4.42578125" style="392" customWidth="1"/>
    <col min="11778" max="11778" width="5.7109375" style="392" customWidth="1"/>
    <col min="11779" max="11779" width="7.5703125" style="392" customWidth="1"/>
    <col min="11780" max="11780" width="6.5703125" style="392" customWidth="1"/>
    <col min="11781" max="11781" width="47.42578125" style="392" customWidth="1"/>
    <col min="11782" max="11782" width="22.28515625" style="392" customWidth="1"/>
    <col min="11783" max="11783" width="9.140625" style="392"/>
    <col min="11784" max="11784" width="12.28515625" style="392" customWidth="1"/>
    <col min="11785" max="12032" width="9.140625" style="392"/>
    <col min="12033" max="12033" width="4.42578125" style="392" customWidth="1"/>
    <col min="12034" max="12034" width="5.7109375" style="392" customWidth="1"/>
    <col min="12035" max="12035" width="7.5703125" style="392" customWidth="1"/>
    <col min="12036" max="12036" width="6.5703125" style="392" customWidth="1"/>
    <col min="12037" max="12037" width="47.42578125" style="392" customWidth="1"/>
    <col min="12038" max="12038" width="22.28515625" style="392" customWidth="1"/>
    <col min="12039" max="12039" width="9.140625" style="392"/>
    <col min="12040" max="12040" width="12.28515625" style="392" customWidth="1"/>
    <col min="12041" max="12288" width="9.140625" style="392"/>
    <col min="12289" max="12289" width="4.42578125" style="392" customWidth="1"/>
    <col min="12290" max="12290" width="5.7109375" style="392" customWidth="1"/>
    <col min="12291" max="12291" width="7.5703125" style="392" customWidth="1"/>
    <col min="12292" max="12292" width="6.5703125" style="392" customWidth="1"/>
    <col min="12293" max="12293" width="47.42578125" style="392" customWidth="1"/>
    <col min="12294" max="12294" width="22.28515625" style="392" customWidth="1"/>
    <col min="12295" max="12295" width="9.140625" style="392"/>
    <col min="12296" max="12296" width="12.28515625" style="392" customWidth="1"/>
    <col min="12297" max="12544" width="9.140625" style="392"/>
    <col min="12545" max="12545" width="4.42578125" style="392" customWidth="1"/>
    <col min="12546" max="12546" width="5.7109375" style="392" customWidth="1"/>
    <col min="12547" max="12547" width="7.5703125" style="392" customWidth="1"/>
    <col min="12548" max="12548" width="6.5703125" style="392" customWidth="1"/>
    <col min="12549" max="12549" width="47.42578125" style="392" customWidth="1"/>
    <col min="12550" max="12550" width="22.28515625" style="392" customWidth="1"/>
    <col min="12551" max="12551" width="9.140625" style="392"/>
    <col min="12552" max="12552" width="12.28515625" style="392" customWidth="1"/>
    <col min="12553" max="12800" width="9.140625" style="392"/>
    <col min="12801" max="12801" width="4.42578125" style="392" customWidth="1"/>
    <col min="12802" max="12802" width="5.7109375" style="392" customWidth="1"/>
    <col min="12803" max="12803" width="7.5703125" style="392" customWidth="1"/>
    <col min="12804" max="12804" width="6.5703125" style="392" customWidth="1"/>
    <col min="12805" max="12805" width="47.42578125" style="392" customWidth="1"/>
    <col min="12806" max="12806" width="22.28515625" style="392" customWidth="1"/>
    <col min="12807" max="12807" width="9.140625" style="392"/>
    <col min="12808" max="12808" width="12.28515625" style="392" customWidth="1"/>
    <col min="12809" max="13056" width="9.140625" style="392"/>
    <col min="13057" max="13057" width="4.42578125" style="392" customWidth="1"/>
    <col min="13058" max="13058" width="5.7109375" style="392" customWidth="1"/>
    <col min="13059" max="13059" width="7.5703125" style="392" customWidth="1"/>
    <col min="13060" max="13060" width="6.5703125" style="392" customWidth="1"/>
    <col min="13061" max="13061" width="47.42578125" style="392" customWidth="1"/>
    <col min="13062" max="13062" width="22.28515625" style="392" customWidth="1"/>
    <col min="13063" max="13063" width="9.140625" style="392"/>
    <col min="13064" max="13064" width="12.28515625" style="392" customWidth="1"/>
    <col min="13065" max="13312" width="9.140625" style="392"/>
    <col min="13313" max="13313" width="4.42578125" style="392" customWidth="1"/>
    <col min="13314" max="13314" width="5.7109375" style="392" customWidth="1"/>
    <col min="13315" max="13315" width="7.5703125" style="392" customWidth="1"/>
    <col min="13316" max="13316" width="6.5703125" style="392" customWidth="1"/>
    <col min="13317" max="13317" width="47.42578125" style="392" customWidth="1"/>
    <col min="13318" max="13318" width="22.28515625" style="392" customWidth="1"/>
    <col min="13319" max="13319" width="9.140625" style="392"/>
    <col min="13320" max="13320" width="12.28515625" style="392" customWidth="1"/>
    <col min="13321" max="13568" width="9.140625" style="392"/>
    <col min="13569" max="13569" width="4.42578125" style="392" customWidth="1"/>
    <col min="13570" max="13570" width="5.7109375" style="392" customWidth="1"/>
    <col min="13571" max="13571" width="7.5703125" style="392" customWidth="1"/>
    <col min="13572" max="13572" width="6.5703125" style="392" customWidth="1"/>
    <col min="13573" max="13573" width="47.42578125" style="392" customWidth="1"/>
    <col min="13574" max="13574" width="22.28515625" style="392" customWidth="1"/>
    <col min="13575" max="13575" width="9.140625" style="392"/>
    <col min="13576" max="13576" width="12.28515625" style="392" customWidth="1"/>
    <col min="13577" max="13824" width="9.140625" style="392"/>
    <col min="13825" max="13825" width="4.42578125" style="392" customWidth="1"/>
    <col min="13826" max="13826" width="5.7109375" style="392" customWidth="1"/>
    <col min="13827" max="13827" width="7.5703125" style="392" customWidth="1"/>
    <col min="13828" max="13828" width="6.5703125" style="392" customWidth="1"/>
    <col min="13829" max="13829" width="47.42578125" style="392" customWidth="1"/>
    <col min="13830" max="13830" width="22.28515625" style="392" customWidth="1"/>
    <col min="13831" max="13831" width="9.140625" style="392"/>
    <col min="13832" max="13832" width="12.28515625" style="392" customWidth="1"/>
    <col min="13833" max="14080" width="9.140625" style="392"/>
    <col min="14081" max="14081" width="4.42578125" style="392" customWidth="1"/>
    <col min="14082" max="14082" width="5.7109375" style="392" customWidth="1"/>
    <col min="14083" max="14083" width="7.5703125" style="392" customWidth="1"/>
    <col min="14084" max="14084" width="6.5703125" style="392" customWidth="1"/>
    <col min="14085" max="14085" width="47.42578125" style="392" customWidth="1"/>
    <col min="14086" max="14086" width="22.28515625" style="392" customWidth="1"/>
    <col min="14087" max="14087" width="9.140625" style="392"/>
    <col min="14088" max="14088" width="12.28515625" style="392" customWidth="1"/>
    <col min="14089" max="14336" width="9.140625" style="392"/>
    <col min="14337" max="14337" width="4.42578125" style="392" customWidth="1"/>
    <col min="14338" max="14338" width="5.7109375" style="392" customWidth="1"/>
    <col min="14339" max="14339" width="7.5703125" style="392" customWidth="1"/>
    <col min="14340" max="14340" width="6.5703125" style="392" customWidth="1"/>
    <col min="14341" max="14341" width="47.42578125" style="392" customWidth="1"/>
    <col min="14342" max="14342" width="22.28515625" style="392" customWidth="1"/>
    <col min="14343" max="14343" width="9.140625" style="392"/>
    <col min="14344" max="14344" width="12.28515625" style="392" customWidth="1"/>
    <col min="14345" max="14592" width="9.140625" style="392"/>
    <col min="14593" max="14593" width="4.42578125" style="392" customWidth="1"/>
    <col min="14594" max="14594" width="5.7109375" style="392" customWidth="1"/>
    <col min="14595" max="14595" width="7.5703125" style="392" customWidth="1"/>
    <col min="14596" max="14596" width="6.5703125" style="392" customWidth="1"/>
    <col min="14597" max="14597" width="47.42578125" style="392" customWidth="1"/>
    <col min="14598" max="14598" width="22.28515625" style="392" customWidth="1"/>
    <col min="14599" max="14599" width="9.140625" style="392"/>
    <col min="14600" max="14600" width="12.28515625" style="392" customWidth="1"/>
    <col min="14601" max="14848" width="9.140625" style="392"/>
    <col min="14849" max="14849" width="4.42578125" style="392" customWidth="1"/>
    <col min="14850" max="14850" width="5.7109375" style="392" customWidth="1"/>
    <col min="14851" max="14851" width="7.5703125" style="392" customWidth="1"/>
    <col min="14852" max="14852" width="6.5703125" style="392" customWidth="1"/>
    <col min="14853" max="14853" width="47.42578125" style="392" customWidth="1"/>
    <col min="14854" max="14854" width="22.28515625" style="392" customWidth="1"/>
    <col min="14855" max="14855" width="9.140625" style="392"/>
    <col min="14856" max="14856" width="12.28515625" style="392" customWidth="1"/>
    <col min="14857" max="15104" width="9.140625" style="392"/>
    <col min="15105" max="15105" width="4.42578125" style="392" customWidth="1"/>
    <col min="15106" max="15106" width="5.7109375" style="392" customWidth="1"/>
    <col min="15107" max="15107" width="7.5703125" style="392" customWidth="1"/>
    <col min="15108" max="15108" width="6.5703125" style="392" customWidth="1"/>
    <col min="15109" max="15109" width="47.42578125" style="392" customWidth="1"/>
    <col min="15110" max="15110" width="22.28515625" style="392" customWidth="1"/>
    <col min="15111" max="15111" width="9.140625" style="392"/>
    <col min="15112" max="15112" width="12.28515625" style="392" customWidth="1"/>
    <col min="15113" max="15360" width="9.140625" style="392"/>
    <col min="15361" max="15361" width="4.42578125" style="392" customWidth="1"/>
    <col min="15362" max="15362" width="5.7109375" style="392" customWidth="1"/>
    <col min="15363" max="15363" width="7.5703125" style="392" customWidth="1"/>
    <col min="15364" max="15364" width="6.5703125" style="392" customWidth="1"/>
    <col min="15365" max="15365" width="47.42578125" style="392" customWidth="1"/>
    <col min="15366" max="15366" width="22.28515625" style="392" customWidth="1"/>
    <col min="15367" max="15367" width="9.140625" style="392"/>
    <col min="15368" max="15368" width="12.28515625" style="392" customWidth="1"/>
    <col min="15369" max="15616" width="9.140625" style="392"/>
    <col min="15617" max="15617" width="4.42578125" style="392" customWidth="1"/>
    <col min="15618" max="15618" width="5.7109375" style="392" customWidth="1"/>
    <col min="15619" max="15619" width="7.5703125" style="392" customWidth="1"/>
    <col min="15620" max="15620" width="6.5703125" style="392" customWidth="1"/>
    <col min="15621" max="15621" width="47.42578125" style="392" customWidth="1"/>
    <col min="15622" max="15622" width="22.28515625" style="392" customWidth="1"/>
    <col min="15623" max="15623" width="9.140625" style="392"/>
    <col min="15624" max="15624" width="12.28515625" style="392" customWidth="1"/>
    <col min="15625" max="15872" width="9.140625" style="392"/>
    <col min="15873" max="15873" width="4.42578125" style="392" customWidth="1"/>
    <col min="15874" max="15874" width="5.7109375" style="392" customWidth="1"/>
    <col min="15875" max="15875" width="7.5703125" style="392" customWidth="1"/>
    <col min="15876" max="15876" width="6.5703125" style="392" customWidth="1"/>
    <col min="15877" max="15877" width="47.42578125" style="392" customWidth="1"/>
    <col min="15878" max="15878" width="22.28515625" style="392" customWidth="1"/>
    <col min="15879" max="15879" width="9.140625" style="392"/>
    <col min="15880" max="15880" width="12.28515625" style="392" customWidth="1"/>
    <col min="15881" max="16128" width="9.140625" style="392"/>
    <col min="16129" max="16129" width="4.42578125" style="392" customWidth="1"/>
    <col min="16130" max="16130" width="5.7109375" style="392" customWidth="1"/>
    <col min="16131" max="16131" width="7.5703125" style="392" customWidth="1"/>
    <col min="16132" max="16132" width="6.5703125" style="392" customWidth="1"/>
    <col min="16133" max="16133" width="47.42578125" style="392" customWidth="1"/>
    <col min="16134" max="16134" width="22.28515625" style="392" customWidth="1"/>
    <col min="16135" max="16135" width="9.140625" style="392"/>
    <col min="16136" max="16136" width="12.28515625" style="392" customWidth="1"/>
    <col min="16137" max="16384" width="9.140625" style="392"/>
  </cols>
  <sheetData>
    <row r="1" spans="1:8" ht="12.95" customHeight="1" x14ac:dyDescent="0.25">
      <c r="F1" s="394" t="s">
        <v>327</v>
      </c>
    </row>
    <row r="2" spans="1:8" ht="12.95" customHeight="1" x14ac:dyDescent="0.25">
      <c r="F2" s="394" t="s">
        <v>435</v>
      </c>
    </row>
    <row r="3" spans="1:8" ht="12.95" customHeight="1" x14ac:dyDescent="0.25">
      <c r="F3" s="394" t="s">
        <v>1</v>
      </c>
    </row>
    <row r="4" spans="1:8" ht="12.75" customHeight="1" x14ac:dyDescent="0.25">
      <c r="F4" s="394" t="s">
        <v>201</v>
      </c>
    </row>
    <row r="5" spans="1:8" ht="26.25" customHeight="1" x14ac:dyDescent="0.25">
      <c r="A5" s="395" t="s">
        <v>328</v>
      </c>
      <c r="B5" s="395"/>
      <c r="C5" s="395"/>
      <c r="D5" s="396"/>
      <c r="E5" s="395"/>
      <c r="F5" s="395"/>
    </row>
    <row r="6" spans="1:8" ht="15.75" customHeight="1" x14ac:dyDescent="0.25">
      <c r="A6" s="395" t="s">
        <v>329</v>
      </c>
      <c r="B6" s="395"/>
      <c r="C6" s="395"/>
      <c r="D6" s="396"/>
      <c r="E6" s="395"/>
      <c r="F6" s="395"/>
    </row>
    <row r="7" spans="1:8" ht="33.75" customHeight="1" x14ac:dyDescent="0.25">
      <c r="F7" s="397" t="s">
        <v>2</v>
      </c>
    </row>
    <row r="8" spans="1:8" ht="20.25" customHeight="1" x14ac:dyDescent="0.25">
      <c r="A8" s="398" t="s">
        <v>40</v>
      </c>
      <c r="B8" s="398" t="s">
        <v>16</v>
      </c>
      <c r="C8" s="398" t="s">
        <v>330</v>
      </c>
      <c r="D8" s="399" t="s">
        <v>331</v>
      </c>
      <c r="E8" s="400" t="s">
        <v>332</v>
      </c>
      <c r="F8" s="398" t="s">
        <v>333</v>
      </c>
    </row>
    <row r="9" spans="1:8" s="404" customFormat="1" ht="10.5" customHeight="1" x14ac:dyDescent="0.3">
      <c r="A9" s="401">
        <v>1</v>
      </c>
      <c r="B9" s="401">
        <v>2</v>
      </c>
      <c r="C9" s="401">
        <v>3</v>
      </c>
      <c r="D9" s="402">
        <v>4</v>
      </c>
      <c r="E9" s="403">
        <v>5</v>
      </c>
      <c r="F9" s="401">
        <v>6</v>
      </c>
    </row>
    <row r="10" spans="1:8" ht="17.25" customHeight="1" x14ac:dyDescent="0.25">
      <c r="A10" s="586" t="s">
        <v>334</v>
      </c>
      <c r="B10" s="587"/>
      <c r="C10" s="587"/>
      <c r="D10" s="405"/>
      <c r="E10" s="587"/>
      <c r="F10" s="588"/>
    </row>
    <row r="11" spans="1:8" ht="15" customHeight="1" x14ac:dyDescent="0.25">
      <c r="A11" s="406">
        <v>1</v>
      </c>
      <c r="B11" s="407">
        <v>630</v>
      </c>
      <c r="C11" s="407">
        <v>63003</v>
      </c>
      <c r="D11" s="399">
        <v>2360</v>
      </c>
      <c r="E11" s="408" t="s">
        <v>335</v>
      </c>
      <c r="F11" s="409">
        <f>35000</f>
        <v>35000</v>
      </c>
    </row>
    <row r="12" spans="1:8" ht="26.25" customHeight="1" x14ac:dyDescent="0.25">
      <c r="A12" s="406">
        <v>2</v>
      </c>
      <c r="B12" s="410">
        <v>700</v>
      </c>
      <c r="C12" s="410">
        <v>70095</v>
      </c>
      <c r="D12" s="411">
        <v>6230</v>
      </c>
      <c r="E12" s="412" t="s">
        <v>336</v>
      </c>
      <c r="F12" s="409">
        <f>1500000</f>
        <v>1500000</v>
      </c>
      <c r="G12" s="413"/>
    </row>
    <row r="13" spans="1:8" ht="26.25" customHeight="1" x14ac:dyDescent="0.25">
      <c r="A13" s="406">
        <v>3</v>
      </c>
      <c r="B13" s="410">
        <v>750</v>
      </c>
      <c r="C13" s="410">
        <v>75095</v>
      </c>
      <c r="D13" s="399">
        <v>2360</v>
      </c>
      <c r="E13" s="414" t="s">
        <v>337</v>
      </c>
      <c r="F13" s="409">
        <f>200000</f>
        <v>200000</v>
      </c>
      <c r="H13" s="415"/>
    </row>
    <row r="14" spans="1:8" ht="15" customHeight="1" x14ac:dyDescent="0.25">
      <c r="A14" s="406">
        <v>4</v>
      </c>
      <c r="B14" s="410">
        <v>755</v>
      </c>
      <c r="C14" s="410">
        <v>75515</v>
      </c>
      <c r="D14" s="399">
        <v>2360</v>
      </c>
      <c r="E14" s="416" t="s">
        <v>338</v>
      </c>
      <c r="F14" s="417">
        <f>146896.8</f>
        <v>146896.79999999999</v>
      </c>
      <c r="H14" s="415"/>
    </row>
    <row r="15" spans="1:8" ht="27" customHeight="1" x14ac:dyDescent="0.25">
      <c r="A15" s="406">
        <v>5</v>
      </c>
      <c r="B15" s="410">
        <v>801</v>
      </c>
      <c r="C15" s="410">
        <v>80195</v>
      </c>
      <c r="D15" s="418" t="s">
        <v>339</v>
      </c>
      <c r="E15" s="419" t="s">
        <v>340</v>
      </c>
      <c r="F15" s="420">
        <f>18864+1109</f>
        <v>19973</v>
      </c>
      <c r="H15" s="415"/>
    </row>
    <row r="16" spans="1:8" ht="28.9" customHeight="1" x14ac:dyDescent="0.25">
      <c r="A16" s="406">
        <v>6</v>
      </c>
      <c r="B16" s="410">
        <v>801</v>
      </c>
      <c r="C16" s="410">
        <v>80195</v>
      </c>
      <c r="D16" s="418" t="s">
        <v>339</v>
      </c>
      <c r="E16" s="419" t="s">
        <v>341</v>
      </c>
      <c r="F16" s="420">
        <f>144716.29+8503.71</f>
        <v>153220</v>
      </c>
      <c r="H16" s="415"/>
    </row>
    <row r="17" spans="1:8" ht="15" customHeight="1" x14ac:dyDescent="0.25">
      <c r="A17" s="406">
        <v>7</v>
      </c>
      <c r="B17" s="410">
        <v>851</v>
      </c>
      <c r="C17" s="410">
        <v>85153</v>
      </c>
      <c r="D17" s="421">
        <v>2360</v>
      </c>
      <c r="E17" s="422" t="s">
        <v>342</v>
      </c>
      <c r="F17" s="420">
        <f>48765</f>
        <v>48765</v>
      </c>
      <c r="H17" s="415"/>
    </row>
    <row r="18" spans="1:8" ht="27" customHeight="1" x14ac:dyDescent="0.25">
      <c r="A18" s="406">
        <v>8</v>
      </c>
      <c r="B18" s="410">
        <v>851</v>
      </c>
      <c r="C18" s="410">
        <v>85154</v>
      </c>
      <c r="D18" s="399">
        <v>2360</v>
      </c>
      <c r="E18" s="414" t="s">
        <v>343</v>
      </c>
      <c r="F18" s="409">
        <f>615000+235000+41482</f>
        <v>891482</v>
      </c>
    </row>
    <row r="19" spans="1:8" ht="24.75" customHeight="1" x14ac:dyDescent="0.25">
      <c r="A19" s="423">
        <v>9</v>
      </c>
      <c r="B19" s="424">
        <v>851</v>
      </c>
      <c r="C19" s="425">
        <v>85195</v>
      </c>
      <c r="D19" s="426">
        <v>2360</v>
      </c>
      <c r="E19" s="427" t="s">
        <v>344</v>
      </c>
      <c r="F19" s="409">
        <f>122500</f>
        <v>122500</v>
      </c>
    </row>
    <row r="20" spans="1:8" ht="24.75" customHeight="1" x14ac:dyDescent="0.25">
      <c r="A20" s="423">
        <v>10</v>
      </c>
      <c r="B20" s="424">
        <v>851</v>
      </c>
      <c r="C20" s="425">
        <v>85195</v>
      </c>
      <c r="D20" s="426">
        <v>2360</v>
      </c>
      <c r="E20" s="427" t="s">
        <v>345</v>
      </c>
      <c r="F20" s="409">
        <v>125000</v>
      </c>
    </row>
    <row r="21" spans="1:8" ht="38.25" customHeight="1" x14ac:dyDescent="0.25">
      <c r="A21" s="423">
        <v>11</v>
      </c>
      <c r="B21" s="406">
        <v>852</v>
      </c>
      <c r="C21" s="406">
        <v>85219</v>
      </c>
      <c r="D21" s="428">
        <v>2830</v>
      </c>
      <c r="E21" s="429" t="s">
        <v>346</v>
      </c>
      <c r="F21" s="409">
        <f>171894</f>
        <v>171894</v>
      </c>
    </row>
    <row r="22" spans="1:8" ht="24.75" customHeight="1" x14ac:dyDescent="0.25">
      <c r="A22" s="423">
        <v>12</v>
      </c>
      <c r="B22" s="430">
        <v>852</v>
      </c>
      <c r="C22" s="431">
        <v>85228</v>
      </c>
      <c r="D22" s="426">
        <v>2360</v>
      </c>
      <c r="E22" s="432" t="s">
        <v>347</v>
      </c>
      <c r="F22" s="409">
        <f>F23+F24</f>
        <v>13764558.119999999</v>
      </c>
    </row>
    <row r="23" spans="1:8" s="394" customFormat="1" ht="13.5" customHeight="1" x14ac:dyDescent="0.25">
      <c r="A23" s="433" t="s">
        <v>348</v>
      </c>
      <c r="B23" s="434"/>
      <c r="C23" s="435"/>
      <c r="D23" s="436"/>
      <c r="E23" s="437" t="s">
        <v>349</v>
      </c>
      <c r="F23" s="438">
        <f>8905485.52-12000+144403.6-27500</f>
        <v>9010389.1199999992</v>
      </c>
    </row>
    <row r="24" spans="1:8" s="394" customFormat="1" ht="13.5" customHeight="1" x14ac:dyDescent="0.25">
      <c r="A24" s="433" t="s">
        <v>350</v>
      </c>
      <c r="B24" s="434"/>
      <c r="C24" s="435"/>
      <c r="D24" s="436"/>
      <c r="E24" s="437" t="s">
        <v>351</v>
      </c>
      <c r="F24" s="438">
        <f>4754169</f>
        <v>4754169</v>
      </c>
    </row>
    <row r="25" spans="1:8" ht="15" customHeight="1" x14ac:dyDescent="0.25">
      <c r="A25" s="439">
        <v>13</v>
      </c>
      <c r="B25" s="440">
        <v>852</v>
      </c>
      <c r="C25" s="440">
        <v>85295</v>
      </c>
      <c r="D25" s="441">
        <v>2360</v>
      </c>
      <c r="E25" s="432" t="s">
        <v>352</v>
      </c>
      <c r="F25" s="442">
        <f>2691864</f>
        <v>2691864</v>
      </c>
    </row>
    <row r="26" spans="1:8" ht="38.25" customHeight="1" x14ac:dyDescent="0.25">
      <c r="A26" s="406">
        <v>14</v>
      </c>
      <c r="B26" s="410">
        <v>853</v>
      </c>
      <c r="C26" s="410">
        <v>85395</v>
      </c>
      <c r="D26" s="399">
        <v>2360</v>
      </c>
      <c r="E26" s="414" t="s">
        <v>353</v>
      </c>
      <c r="F26" s="409">
        <f>19000</f>
        <v>19000</v>
      </c>
    </row>
    <row r="27" spans="1:8" ht="24.75" customHeight="1" x14ac:dyDescent="0.25">
      <c r="A27" s="406">
        <v>15</v>
      </c>
      <c r="B27" s="410">
        <v>855</v>
      </c>
      <c r="C27" s="410">
        <v>85510</v>
      </c>
      <c r="D27" s="443" t="s">
        <v>354</v>
      </c>
      <c r="E27" s="416" t="s">
        <v>198</v>
      </c>
      <c r="F27" s="409">
        <f>2830580+188620</f>
        <v>3019200</v>
      </c>
    </row>
    <row r="28" spans="1:8" ht="24.75" customHeight="1" x14ac:dyDescent="0.25">
      <c r="A28" s="406">
        <v>16</v>
      </c>
      <c r="B28" s="410">
        <v>900</v>
      </c>
      <c r="C28" s="410">
        <v>90001</v>
      </c>
      <c r="D28" s="399">
        <v>6230</v>
      </c>
      <c r="E28" s="444" t="s">
        <v>355</v>
      </c>
      <c r="F28" s="409">
        <v>5000</v>
      </c>
    </row>
    <row r="29" spans="1:8" ht="26.25" customHeight="1" x14ac:dyDescent="0.25">
      <c r="A29" s="445">
        <v>17</v>
      </c>
      <c r="B29" s="410">
        <v>900</v>
      </c>
      <c r="C29" s="410">
        <v>90005</v>
      </c>
      <c r="D29" s="399">
        <v>2360</v>
      </c>
      <c r="E29" s="446" t="s">
        <v>356</v>
      </c>
      <c r="F29" s="447">
        <v>100000</v>
      </c>
      <c r="G29" s="448"/>
    </row>
    <row r="30" spans="1:8" ht="28.5" customHeight="1" x14ac:dyDescent="0.25">
      <c r="A30" s="445">
        <v>18</v>
      </c>
      <c r="B30" s="410">
        <v>900</v>
      </c>
      <c r="C30" s="410">
        <v>90095</v>
      </c>
      <c r="D30" s="418" t="s">
        <v>357</v>
      </c>
      <c r="E30" s="419" t="s">
        <v>358</v>
      </c>
      <c r="F30" s="420">
        <f>14643+82977</f>
        <v>97620</v>
      </c>
      <c r="G30" s="448"/>
    </row>
    <row r="31" spans="1:8" s="394" customFormat="1" ht="15" customHeight="1" x14ac:dyDescent="0.25">
      <c r="A31" s="406">
        <v>19</v>
      </c>
      <c r="B31" s="410">
        <v>921</v>
      </c>
      <c r="C31" s="410">
        <v>92120</v>
      </c>
      <c r="D31" s="399">
        <v>2720</v>
      </c>
      <c r="E31" s="449" t="s">
        <v>359</v>
      </c>
      <c r="F31" s="447">
        <f>750000</f>
        <v>750000</v>
      </c>
    </row>
    <row r="32" spans="1:8" ht="38.25" customHeight="1" x14ac:dyDescent="0.25">
      <c r="A32" s="406">
        <v>20</v>
      </c>
      <c r="B32" s="410">
        <v>921</v>
      </c>
      <c r="C32" s="410">
        <v>92195</v>
      </c>
      <c r="D32" s="450">
        <v>2360</v>
      </c>
      <c r="E32" s="414" t="s">
        <v>360</v>
      </c>
      <c r="F32" s="447">
        <v>950000</v>
      </c>
    </row>
    <row r="33" spans="1:8" ht="15.6" customHeight="1" x14ac:dyDescent="0.25">
      <c r="A33" s="406">
        <v>21</v>
      </c>
      <c r="B33" s="410">
        <v>926</v>
      </c>
      <c r="C33" s="410">
        <v>92605</v>
      </c>
      <c r="D33" s="450">
        <v>2360</v>
      </c>
      <c r="E33" s="416" t="s">
        <v>361</v>
      </c>
      <c r="F33" s="409">
        <f>5000000</f>
        <v>5000000</v>
      </c>
    </row>
    <row r="34" spans="1:8" s="452" customFormat="1" ht="18" customHeight="1" x14ac:dyDescent="0.25">
      <c r="A34" s="589"/>
      <c r="B34" s="590"/>
      <c r="C34" s="590"/>
      <c r="D34" s="451"/>
      <c r="E34" s="590" t="s">
        <v>362</v>
      </c>
      <c r="F34" s="409">
        <f>SUM(F11,F12,F13,F14,F15,F16,F17,F18,F19,F20,F21,F22,F28,F25,F26,F27,F29,F30,F31,F32,F33)</f>
        <v>29811972.919999998</v>
      </c>
      <c r="H34" s="453"/>
    </row>
    <row r="35" spans="1:8" ht="17.25" customHeight="1" x14ac:dyDescent="0.25">
      <c r="A35" s="586" t="s">
        <v>363</v>
      </c>
      <c r="B35" s="587"/>
      <c r="C35" s="587"/>
      <c r="D35" s="405"/>
      <c r="E35" s="587"/>
      <c r="F35" s="588"/>
    </row>
    <row r="36" spans="1:8" ht="17.25" customHeight="1" x14ac:dyDescent="0.25">
      <c r="A36" s="398" t="s">
        <v>40</v>
      </c>
      <c r="B36" s="398" t="s">
        <v>16</v>
      </c>
      <c r="C36" s="398" t="s">
        <v>330</v>
      </c>
      <c r="D36" s="454"/>
      <c r="E36" s="400" t="s">
        <v>364</v>
      </c>
      <c r="F36" s="455" t="s">
        <v>333</v>
      </c>
    </row>
    <row r="37" spans="1:8" ht="24" customHeight="1" x14ac:dyDescent="0.25">
      <c r="A37" s="410">
        <v>1</v>
      </c>
      <c r="B37" s="410">
        <v>801</v>
      </c>
      <c r="C37" s="410">
        <v>80101</v>
      </c>
      <c r="D37" s="450" t="s">
        <v>365</v>
      </c>
      <c r="E37" s="449" t="s">
        <v>123</v>
      </c>
      <c r="F37" s="409">
        <f>3611632.2+9720952.16</f>
        <v>13332584.359999999</v>
      </c>
    </row>
    <row r="38" spans="1:8" s="394" customFormat="1" ht="13.5" customHeight="1" x14ac:dyDescent="0.25">
      <c r="A38" s="456"/>
      <c r="B38" s="457"/>
      <c r="C38" s="458"/>
      <c r="D38" s="459"/>
      <c r="E38" s="460" t="s">
        <v>366</v>
      </c>
      <c r="F38" s="461"/>
    </row>
    <row r="39" spans="1:8" s="394" customFormat="1" ht="13.5" customHeight="1" x14ac:dyDescent="0.25">
      <c r="A39" s="462"/>
      <c r="C39" s="463"/>
      <c r="D39" s="464"/>
      <c r="E39" s="465" t="s">
        <v>367</v>
      </c>
      <c r="F39" s="466"/>
      <c r="G39" s="467"/>
    </row>
    <row r="40" spans="1:8" s="394" customFormat="1" ht="14.25" customHeight="1" x14ac:dyDescent="0.25">
      <c r="A40" s="462"/>
      <c r="C40" s="463"/>
      <c r="D40" s="468"/>
      <c r="E40" s="469" t="s">
        <v>368</v>
      </c>
      <c r="F40" s="466"/>
    </row>
    <row r="41" spans="1:8" s="394" customFormat="1" ht="25.5" customHeight="1" x14ac:dyDescent="0.25">
      <c r="A41" s="462"/>
      <c r="C41" s="463"/>
      <c r="D41" s="468"/>
      <c r="E41" s="470" t="s">
        <v>369</v>
      </c>
      <c r="F41" s="471"/>
    </row>
    <row r="42" spans="1:8" s="394" customFormat="1" ht="13.5" customHeight="1" x14ac:dyDescent="0.25">
      <c r="A42" s="472"/>
      <c r="B42" s="473"/>
      <c r="C42" s="474"/>
      <c r="D42" s="475"/>
      <c r="E42" s="476" t="s">
        <v>370</v>
      </c>
      <c r="F42" s="477"/>
    </row>
    <row r="43" spans="1:8" ht="13.9" customHeight="1" x14ac:dyDescent="0.25">
      <c r="A43" s="440">
        <v>2</v>
      </c>
      <c r="B43" s="440">
        <v>801</v>
      </c>
      <c r="C43" s="440">
        <v>80103</v>
      </c>
      <c r="D43" s="441">
        <v>2540</v>
      </c>
      <c r="E43" s="478" t="s">
        <v>371</v>
      </c>
      <c r="F43" s="442">
        <f>198379.2</f>
        <v>198379.2</v>
      </c>
    </row>
    <row r="44" spans="1:8" s="394" customFormat="1" ht="13.5" customHeight="1" x14ac:dyDescent="0.25">
      <c r="A44" s="462"/>
      <c r="C44" s="463"/>
      <c r="D44" s="468"/>
      <c r="E44" s="479" t="s">
        <v>368</v>
      </c>
      <c r="F44" s="480"/>
    </row>
    <row r="45" spans="1:8" ht="24" customHeight="1" x14ac:dyDescent="0.25">
      <c r="A45" s="410">
        <v>3</v>
      </c>
      <c r="B45" s="410">
        <v>801</v>
      </c>
      <c r="C45" s="410">
        <v>80104</v>
      </c>
      <c r="D45" s="450" t="s">
        <v>365</v>
      </c>
      <c r="E45" s="449" t="s">
        <v>372</v>
      </c>
      <c r="F45" s="409">
        <f>9183881.2+3891938.8</f>
        <v>13075820</v>
      </c>
    </row>
    <row r="46" spans="1:8" s="394" customFormat="1" ht="13.5" customHeight="1" x14ac:dyDescent="0.25">
      <c r="A46" s="481"/>
      <c r="B46" s="482"/>
      <c r="C46" s="483"/>
      <c r="D46" s="484"/>
      <c r="E46" s="485" t="s">
        <v>373</v>
      </c>
      <c r="F46" s="480"/>
    </row>
    <row r="47" spans="1:8" s="394" customFormat="1" ht="13.5" customHeight="1" x14ac:dyDescent="0.25">
      <c r="A47" s="462"/>
      <c r="C47" s="463"/>
      <c r="D47" s="468"/>
      <c r="E47" s="486" t="s">
        <v>374</v>
      </c>
      <c r="F47" s="471"/>
    </row>
    <row r="48" spans="1:8" s="394" customFormat="1" ht="13.5" customHeight="1" x14ac:dyDescent="0.25">
      <c r="A48" s="462"/>
      <c r="C48" s="463"/>
      <c r="D48" s="468"/>
      <c r="E48" s="486" t="s">
        <v>375</v>
      </c>
      <c r="F48" s="471"/>
    </row>
    <row r="49" spans="1:6" s="394" customFormat="1" ht="13.5" customHeight="1" x14ac:dyDescent="0.25">
      <c r="A49" s="462"/>
      <c r="C49" s="463"/>
      <c r="D49" s="468"/>
      <c r="E49" s="486" t="s">
        <v>376</v>
      </c>
      <c r="F49" s="471"/>
    </row>
    <row r="50" spans="1:6" s="394" customFormat="1" ht="13.5" customHeight="1" x14ac:dyDescent="0.25">
      <c r="A50" s="462"/>
      <c r="C50" s="463"/>
      <c r="D50" s="468"/>
      <c r="E50" s="470" t="s">
        <v>377</v>
      </c>
      <c r="F50" s="471"/>
    </row>
    <row r="51" spans="1:6" s="394" customFormat="1" ht="13.5" customHeight="1" x14ac:dyDescent="0.25">
      <c r="A51" s="462"/>
      <c r="C51" s="463"/>
      <c r="D51" s="468"/>
      <c r="E51" s="470" t="s">
        <v>378</v>
      </c>
      <c r="F51" s="471"/>
    </row>
    <row r="52" spans="1:6" s="394" customFormat="1" ht="13.5" customHeight="1" x14ac:dyDescent="0.25">
      <c r="A52" s="462"/>
      <c r="C52" s="463"/>
      <c r="D52" s="468"/>
      <c r="E52" s="486" t="s">
        <v>379</v>
      </c>
      <c r="F52" s="471"/>
    </row>
    <row r="53" spans="1:6" s="394" customFormat="1" ht="13.5" customHeight="1" x14ac:dyDescent="0.25">
      <c r="A53" s="462"/>
      <c r="C53" s="463"/>
      <c r="D53" s="468"/>
      <c r="E53" s="486" t="s">
        <v>380</v>
      </c>
      <c r="F53" s="471"/>
    </row>
    <row r="54" spans="1:6" s="394" customFormat="1" ht="13.5" customHeight="1" x14ac:dyDescent="0.25">
      <c r="A54" s="462"/>
      <c r="C54" s="463"/>
      <c r="D54" s="468"/>
      <c r="E54" s="470" t="s">
        <v>381</v>
      </c>
      <c r="F54" s="471"/>
    </row>
    <row r="55" spans="1:6" s="394" customFormat="1" ht="13.5" customHeight="1" x14ac:dyDescent="0.25">
      <c r="A55" s="462"/>
      <c r="C55" s="463"/>
      <c r="D55" s="468"/>
      <c r="E55" s="487" t="s">
        <v>382</v>
      </c>
      <c r="F55" s="471"/>
    </row>
    <row r="56" spans="1:6" s="394" customFormat="1" ht="13.5" customHeight="1" x14ac:dyDescent="0.25">
      <c r="A56" s="462"/>
      <c r="C56" s="463"/>
      <c r="D56" s="468"/>
      <c r="E56" s="470" t="s">
        <v>383</v>
      </c>
      <c r="F56" s="471"/>
    </row>
    <row r="57" spans="1:6" s="394" customFormat="1" ht="13.5" customHeight="1" x14ac:dyDescent="0.25">
      <c r="A57" s="462"/>
      <c r="C57" s="463"/>
      <c r="D57" s="468"/>
      <c r="E57" s="487" t="s">
        <v>384</v>
      </c>
      <c r="F57" s="471"/>
    </row>
    <row r="58" spans="1:6" s="394" customFormat="1" ht="13.5" customHeight="1" x14ac:dyDescent="0.25">
      <c r="A58" s="462"/>
      <c r="C58" s="463"/>
      <c r="D58" s="468"/>
      <c r="E58" s="487" t="s">
        <v>385</v>
      </c>
      <c r="F58" s="471"/>
    </row>
    <row r="59" spans="1:6" s="394" customFormat="1" ht="13.5" customHeight="1" x14ac:dyDescent="0.25">
      <c r="A59" s="472"/>
      <c r="B59" s="473"/>
      <c r="C59" s="474"/>
      <c r="D59" s="475"/>
      <c r="E59" s="488" t="s">
        <v>386</v>
      </c>
      <c r="F59" s="477"/>
    </row>
    <row r="60" spans="1:6" ht="22.5" customHeight="1" x14ac:dyDescent="0.25">
      <c r="A60" s="410">
        <v>4</v>
      </c>
      <c r="B60" s="410">
        <v>801</v>
      </c>
      <c r="C60" s="410">
        <v>80106</v>
      </c>
      <c r="D60" s="399">
        <v>2540</v>
      </c>
      <c r="E60" s="416" t="s">
        <v>387</v>
      </c>
      <c r="F60" s="409">
        <f>158564</f>
        <v>158564</v>
      </c>
    </row>
    <row r="61" spans="1:6" s="394" customFormat="1" ht="13.5" customHeight="1" x14ac:dyDescent="0.25">
      <c r="A61" s="462"/>
      <c r="C61" s="463"/>
      <c r="D61" s="489"/>
      <c r="E61" s="490" t="s">
        <v>388</v>
      </c>
      <c r="F61" s="491"/>
    </row>
    <row r="62" spans="1:6" ht="13.5" customHeight="1" x14ac:dyDescent="0.25">
      <c r="A62" s="440">
        <v>5</v>
      </c>
      <c r="B62" s="440">
        <v>801</v>
      </c>
      <c r="C62" s="440">
        <v>80115</v>
      </c>
      <c r="D62" s="492">
        <v>2540</v>
      </c>
      <c r="E62" s="493" t="s">
        <v>389</v>
      </c>
      <c r="F62" s="442">
        <f>3756329.44</f>
        <v>3756329.44</v>
      </c>
    </row>
    <row r="63" spans="1:6" s="394" customFormat="1" ht="12.75" customHeight="1" x14ac:dyDescent="0.25">
      <c r="A63" s="456"/>
      <c r="B63" s="457"/>
      <c r="C63" s="458"/>
      <c r="D63" s="494"/>
      <c r="E63" s="495" t="s">
        <v>390</v>
      </c>
      <c r="F63" s="461"/>
    </row>
    <row r="64" spans="1:6" ht="23.25" customHeight="1" x14ac:dyDescent="0.25">
      <c r="A64" s="410">
        <v>6</v>
      </c>
      <c r="B64" s="410">
        <v>801</v>
      </c>
      <c r="C64" s="410">
        <v>80116</v>
      </c>
      <c r="D64" s="496" t="s">
        <v>365</v>
      </c>
      <c r="E64" s="497" t="s">
        <v>391</v>
      </c>
      <c r="F64" s="442">
        <f>9078519.3+650000</f>
        <v>9728519.3000000007</v>
      </c>
    </row>
    <row r="65" spans="1:6" s="394" customFormat="1" ht="13.5" customHeight="1" x14ac:dyDescent="0.25">
      <c r="A65" s="481"/>
      <c r="B65" s="482"/>
      <c r="C65" s="483"/>
      <c r="D65" s="484"/>
      <c r="E65" s="498" t="s">
        <v>392</v>
      </c>
      <c r="F65" s="480"/>
    </row>
    <row r="66" spans="1:6" s="394" customFormat="1" ht="25.5" customHeight="1" x14ac:dyDescent="0.25">
      <c r="A66" s="462"/>
      <c r="C66" s="463"/>
      <c r="D66" s="468"/>
      <c r="E66" s="499" t="s">
        <v>393</v>
      </c>
      <c r="F66" s="471"/>
    </row>
    <row r="67" spans="1:6" s="394" customFormat="1" ht="13.5" customHeight="1" x14ac:dyDescent="0.25">
      <c r="A67" s="462"/>
      <c r="C67" s="463"/>
      <c r="D67" s="468"/>
      <c r="E67" s="487" t="s">
        <v>394</v>
      </c>
      <c r="F67" s="471"/>
    </row>
    <row r="68" spans="1:6" s="394" customFormat="1" ht="13.5" customHeight="1" x14ac:dyDescent="0.25">
      <c r="A68" s="462"/>
      <c r="C68" s="463"/>
      <c r="D68" s="468"/>
      <c r="E68" s="499" t="s">
        <v>395</v>
      </c>
      <c r="F68" s="471"/>
    </row>
    <row r="69" spans="1:6" s="394" customFormat="1" ht="13.5" customHeight="1" x14ac:dyDescent="0.25">
      <c r="A69" s="462"/>
      <c r="C69" s="463"/>
      <c r="D69" s="468"/>
      <c r="E69" s="487" t="s">
        <v>396</v>
      </c>
      <c r="F69" s="471"/>
    </row>
    <row r="70" spans="1:6" s="394" customFormat="1" ht="13.5" customHeight="1" x14ac:dyDescent="0.25">
      <c r="A70" s="462"/>
      <c r="C70" s="463"/>
      <c r="D70" s="468"/>
      <c r="E70" s="487" t="s">
        <v>397</v>
      </c>
      <c r="F70" s="471"/>
    </row>
    <row r="71" spans="1:6" s="394" customFormat="1" ht="13.5" customHeight="1" x14ac:dyDescent="0.25">
      <c r="A71" s="462"/>
      <c r="C71" s="463"/>
      <c r="D71" s="500"/>
      <c r="E71" s="501" t="s">
        <v>398</v>
      </c>
      <c r="F71" s="466"/>
    </row>
    <row r="72" spans="1:6" s="394" customFormat="1" ht="13.5" customHeight="1" x14ac:dyDescent="0.25">
      <c r="A72" s="462"/>
      <c r="C72" s="463"/>
      <c r="D72" s="500"/>
      <c r="E72" s="487" t="s">
        <v>399</v>
      </c>
      <c r="F72" s="471"/>
    </row>
    <row r="73" spans="1:6" s="394" customFormat="1" ht="13.5" customHeight="1" x14ac:dyDescent="0.25">
      <c r="A73" s="462"/>
      <c r="C73" s="463"/>
      <c r="D73" s="502"/>
      <c r="E73" s="501" t="s">
        <v>400</v>
      </c>
      <c r="F73" s="466"/>
    </row>
    <row r="74" spans="1:6" s="394" customFormat="1" ht="13.5" customHeight="1" x14ac:dyDescent="0.25">
      <c r="A74" s="472"/>
      <c r="B74" s="473"/>
      <c r="C74" s="474"/>
      <c r="D74" s="475"/>
      <c r="E74" s="476" t="s">
        <v>401</v>
      </c>
      <c r="F74" s="477"/>
    </row>
    <row r="75" spans="1:6" ht="24" customHeight="1" x14ac:dyDescent="0.25">
      <c r="A75" s="406">
        <v>7</v>
      </c>
      <c r="B75" s="406">
        <v>801</v>
      </c>
      <c r="C75" s="406">
        <v>80117</v>
      </c>
      <c r="D75" s="503" t="s">
        <v>365</v>
      </c>
      <c r="E75" s="449" t="s">
        <v>402</v>
      </c>
      <c r="F75" s="409">
        <f>2677774+1983634.18</f>
        <v>4661408.18</v>
      </c>
    </row>
    <row r="76" spans="1:6" s="394" customFormat="1" ht="13.5" customHeight="1" x14ac:dyDescent="0.25">
      <c r="A76" s="462"/>
      <c r="C76" s="463"/>
      <c r="D76" s="468"/>
      <c r="E76" s="465" t="s">
        <v>403</v>
      </c>
      <c r="F76" s="466"/>
    </row>
    <row r="77" spans="1:6" s="394" customFormat="1" ht="24" customHeight="1" x14ac:dyDescent="0.25">
      <c r="A77" s="472"/>
      <c r="B77" s="473"/>
      <c r="C77" s="474"/>
      <c r="D77" s="475"/>
      <c r="E77" s="476" t="s">
        <v>404</v>
      </c>
      <c r="F77" s="477"/>
    </row>
    <row r="78" spans="1:6" ht="24" customHeight="1" x14ac:dyDescent="0.25">
      <c r="A78" s="406">
        <v>8</v>
      </c>
      <c r="B78" s="406">
        <v>801</v>
      </c>
      <c r="C78" s="406">
        <v>80120</v>
      </c>
      <c r="D78" s="503" t="s">
        <v>365</v>
      </c>
      <c r="E78" s="449" t="s">
        <v>405</v>
      </c>
      <c r="F78" s="409">
        <f>3471265.85+4785976.45-430423</f>
        <v>7826819.3000000007</v>
      </c>
    </row>
    <row r="79" spans="1:6" s="394" customFormat="1" ht="25.5" customHeight="1" x14ac:dyDescent="0.25">
      <c r="A79" s="462"/>
      <c r="C79" s="463"/>
      <c r="D79" s="468"/>
      <c r="E79" s="470" t="s">
        <v>406</v>
      </c>
      <c r="F79" s="471"/>
    </row>
    <row r="80" spans="1:6" s="394" customFormat="1" ht="24.75" customHeight="1" x14ac:dyDescent="0.25">
      <c r="A80" s="472"/>
      <c r="B80" s="473"/>
      <c r="C80" s="474"/>
      <c r="D80" s="475"/>
      <c r="E80" s="504" t="s">
        <v>407</v>
      </c>
      <c r="F80" s="505"/>
    </row>
    <row r="81" spans="1:7" s="394" customFormat="1" ht="13.5" customHeight="1" x14ac:dyDescent="0.25">
      <c r="A81" s="462"/>
      <c r="C81" s="463"/>
      <c r="D81" s="468"/>
      <c r="E81" s="501" t="s">
        <v>408</v>
      </c>
      <c r="F81" s="466"/>
    </row>
    <row r="82" spans="1:7" s="394" customFormat="1" ht="13.5" customHeight="1" x14ac:dyDescent="0.25">
      <c r="A82" s="472"/>
      <c r="B82" s="473"/>
      <c r="C82" s="474"/>
      <c r="D82" s="475"/>
      <c r="E82" s="488" t="s">
        <v>409</v>
      </c>
      <c r="F82" s="477"/>
    </row>
    <row r="83" spans="1:7" ht="26.25" customHeight="1" x14ac:dyDescent="0.25">
      <c r="A83" s="406">
        <v>9</v>
      </c>
      <c r="B83" s="406">
        <v>801</v>
      </c>
      <c r="C83" s="406">
        <v>80122</v>
      </c>
      <c r="D83" s="503" t="s">
        <v>365</v>
      </c>
      <c r="E83" s="449" t="s">
        <v>410</v>
      </c>
      <c r="F83" s="409">
        <f>395800+902460</f>
        <v>1298260</v>
      </c>
    </row>
    <row r="84" spans="1:7" s="394" customFormat="1" ht="12.75" customHeight="1" x14ac:dyDescent="0.25">
      <c r="A84" s="481"/>
      <c r="B84" s="482"/>
      <c r="C84" s="483"/>
      <c r="D84" s="484"/>
      <c r="E84" s="506" t="s">
        <v>411</v>
      </c>
      <c r="F84" s="480"/>
    </row>
    <row r="85" spans="1:7" s="394" customFormat="1" ht="13.5" customHeight="1" x14ac:dyDescent="0.25">
      <c r="A85" s="462"/>
      <c r="C85" s="463"/>
      <c r="D85" s="500"/>
      <c r="E85" s="507" t="s">
        <v>412</v>
      </c>
      <c r="F85" s="466"/>
    </row>
    <row r="86" spans="1:7" s="394" customFormat="1" ht="13.5" customHeight="1" x14ac:dyDescent="0.25">
      <c r="A86" s="462"/>
      <c r="C86" s="463"/>
      <c r="D86" s="468"/>
      <c r="E86" s="499" t="s">
        <v>413</v>
      </c>
      <c r="F86" s="471"/>
      <c r="G86" s="508"/>
    </row>
    <row r="87" spans="1:7" s="394" customFormat="1" ht="13.5" customHeight="1" x14ac:dyDescent="0.25">
      <c r="A87" s="462"/>
      <c r="C87" s="463"/>
      <c r="D87" s="468"/>
      <c r="E87" s="486" t="s">
        <v>414</v>
      </c>
      <c r="F87" s="471"/>
    </row>
    <row r="88" spans="1:7" s="394" customFormat="1" ht="13.5" customHeight="1" x14ac:dyDescent="0.25">
      <c r="A88" s="462"/>
      <c r="C88" s="463"/>
      <c r="D88" s="468"/>
      <c r="E88" s="486" t="s">
        <v>415</v>
      </c>
      <c r="F88" s="471"/>
    </row>
    <row r="89" spans="1:7" s="394" customFormat="1" ht="13.5" customHeight="1" x14ac:dyDescent="0.25">
      <c r="A89" s="462"/>
      <c r="C89" s="463"/>
      <c r="D89" s="468"/>
      <c r="E89" s="487" t="s">
        <v>416</v>
      </c>
      <c r="F89" s="471"/>
    </row>
    <row r="90" spans="1:7" ht="51.75" customHeight="1" x14ac:dyDescent="0.25">
      <c r="A90" s="410">
        <v>10</v>
      </c>
      <c r="B90" s="410">
        <v>801</v>
      </c>
      <c r="C90" s="410">
        <v>80149</v>
      </c>
      <c r="D90" s="450" t="s">
        <v>365</v>
      </c>
      <c r="E90" s="416" t="s">
        <v>417</v>
      </c>
      <c r="F90" s="409">
        <f>5113118.41+55575.11-444408-100000+100000</f>
        <v>4724285.5200000005</v>
      </c>
    </row>
    <row r="91" spans="1:7" s="394" customFormat="1" ht="13.5" customHeight="1" x14ac:dyDescent="0.25">
      <c r="A91" s="462"/>
      <c r="C91" s="463"/>
      <c r="D91" s="468"/>
      <c r="E91" s="470" t="s">
        <v>382</v>
      </c>
      <c r="F91" s="471"/>
    </row>
    <row r="92" spans="1:7" s="394" customFormat="1" ht="13.5" customHeight="1" x14ac:dyDescent="0.25">
      <c r="A92" s="462"/>
      <c r="C92" s="463"/>
      <c r="D92" s="468"/>
      <c r="E92" s="470" t="s">
        <v>418</v>
      </c>
      <c r="F92" s="471"/>
    </row>
    <row r="93" spans="1:7" s="394" customFormat="1" ht="13.5" customHeight="1" x14ac:dyDescent="0.25">
      <c r="A93" s="462"/>
      <c r="C93" s="463"/>
      <c r="D93" s="468"/>
      <c r="E93" s="509" t="s">
        <v>373</v>
      </c>
      <c r="F93" s="466"/>
    </row>
    <row r="94" spans="1:7" s="394" customFormat="1" ht="13.5" customHeight="1" x14ac:dyDescent="0.25">
      <c r="A94" s="462"/>
      <c r="C94" s="463"/>
      <c r="D94" s="468"/>
      <c r="E94" s="486" t="s">
        <v>375</v>
      </c>
      <c r="F94" s="471"/>
    </row>
    <row r="95" spans="1:7" s="394" customFormat="1" ht="13.5" customHeight="1" x14ac:dyDescent="0.25">
      <c r="A95" s="462"/>
      <c r="C95" s="463"/>
      <c r="D95" s="468"/>
      <c r="E95" s="470" t="s">
        <v>419</v>
      </c>
      <c r="F95" s="471"/>
    </row>
    <row r="96" spans="1:7" s="394" customFormat="1" ht="13.5" customHeight="1" x14ac:dyDescent="0.25">
      <c r="A96" s="462"/>
      <c r="C96" s="463"/>
      <c r="D96" s="468"/>
      <c r="E96" s="470" t="s">
        <v>420</v>
      </c>
      <c r="F96" s="471"/>
    </row>
    <row r="97" spans="1:7" s="394" customFormat="1" ht="13.5" customHeight="1" x14ac:dyDescent="0.25">
      <c r="A97" s="462"/>
      <c r="C97" s="463"/>
      <c r="D97" s="468"/>
      <c r="E97" s="470" t="s">
        <v>383</v>
      </c>
      <c r="F97" s="471"/>
    </row>
    <row r="98" spans="1:7" s="394" customFormat="1" ht="13.5" customHeight="1" x14ac:dyDescent="0.25">
      <c r="A98" s="462"/>
      <c r="C98" s="463"/>
      <c r="D98" s="468"/>
      <c r="E98" s="470" t="s">
        <v>378</v>
      </c>
      <c r="F98" s="471"/>
    </row>
    <row r="99" spans="1:7" s="394" customFormat="1" ht="13.5" customHeight="1" x14ac:dyDescent="0.25">
      <c r="A99" s="462"/>
      <c r="C99" s="463"/>
      <c r="D99" s="464"/>
      <c r="E99" s="486" t="s">
        <v>374</v>
      </c>
      <c r="F99" s="471"/>
    </row>
    <row r="100" spans="1:7" s="394" customFormat="1" ht="13.5" customHeight="1" x14ac:dyDescent="0.25">
      <c r="A100" s="462"/>
      <c r="C100" s="463"/>
      <c r="D100" s="468"/>
      <c r="E100" s="486" t="s">
        <v>381</v>
      </c>
      <c r="F100" s="471"/>
    </row>
    <row r="101" spans="1:7" s="394" customFormat="1" ht="13.5" customHeight="1" x14ac:dyDescent="0.25">
      <c r="A101" s="462"/>
      <c r="C101" s="463"/>
      <c r="D101" s="468"/>
      <c r="E101" s="486" t="s">
        <v>377</v>
      </c>
      <c r="F101" s="471"/>
    </row>
    <row r="102" spans="1:7" s="394" customFormat="1" ht="13.5" customHeight="1" x14ac:dyDescent="0.25">
      <c r="A102" s="462"/>
      <c r="C102" s="463"/>
      <c r="D102" s="468"/>
      <c r="E102" s="509" t="s">
        <v>384</v>
      </c>
      <c r="F102" s="466"/>
    </row>
    <row r="103" spans="1:7" s="394" customFormat="1" ht="13.5" customHeight="1" x14ac:dyDescent="0.25">
      <c r="A103" s="462"/>
      <c r="C103" s="463"/>
      <c r="D103" s="468"/>
      <c r="E103" s="469" t="s">
        <v>386</v>
      </c>
      <c r="F103" s="466"/>
    </row>
    <row r="104" spans="1:7" s="394" customFormat="1" ht="13.5" customHeight="1" x14ac:dyDescent="0.25">
      <c r="A104" s="472"/>
      <c r="B104" s="473"/>
      <c r="C104" s="474"/>
      <c r="D104" s="475"/>
      <c r="E104" s="510" t="s">
        <v>385</v>
      </c>
      <c r="F104" s="477"/>
    </row>
    <row r="105" spans="1:7" ht="30" customHeight="1" x14ac:dyDescent="0.25">
      <c r="A105" s="406">
        <v>11</v>
      </c>
      <c r="B105" s="406">
        <v>801</v>
      </c>
      <c r="C105" s="406">
        <v>80150</v>
      </c>
      <c r="D105" s="503" t="s">
        <v>365</v>
      </c>
      <c r="E105" s="429" t="s">
        <v>421</v>
      </c>
      <c r="F105" s="409">
        <f>434541.03+548526.98</f>
        <v>983068.01</v>
      </c>
    </row>
    <row r="106" spans="1:7" s="394" customFormat="1" ht="13.5" customHeight="1" x14ac:dyDescent="0.25">
      <c r="A106" s="462"/>
      <c r="C106" s="463"/>
      <c r="D106" s="468"/>
      <c r="E106" s="499" t="s">
        <v>422</v>
      </c>
      <c r="F106" s="471"/>
    </row>
    <row r="107" spans="1:7" s="394" customFormat="1" ht="25.9" customHeight="1" x14ac:dyDescent="0.25">
      <c r="A107" s="462"/>
      <c r="C107" s="463"/>
      <c r="D107" s="468"/>
      <c r="E107" s="470" t="s">
        <v>369</v>
      </c>
      <c r="F107" s="471"/>
    </row>
    <row r="108" spans="1:7" s="394" customFormat="1" ht="14.25" customHeight="1" x14ac:dyDescent="0.25">
      <c r="A108" s="462"/>
      <c r="C108" s="463"/>
      <c r="D108" s="468"/>
      <c r="E108" s="469" t="s">
        <v>368</v>
      </c>
      <c r="F108" s="471"/>
    </row>
    <row r="109" spans="1:7" s="394" customFormat="1" ht="13.5" customHeight="1" x14ac:dyDescent="0.25">
      <c r="A109" s="462"/>
      <c r="C109" s="463"/>
      <c r="D109" s="468"/>
      <c r="E109" s="470" t="s">
        <v>366</v>
      </c>
      <c r="F109" s="471"/>
    </row>
    <row r="110" spans="1:7" s="394" customFormat="1" ht="13.5" customHeight="1" x14ac:dyDescent="0.25">
      <c r="A110" s="472"/>
      <c r="B110" s="473"/>
      <c r="C110" s="474"/>
      <c r="D110" s="475"/>
      <c r="E110" s="476" t="s">
        <v>367</v>
      </c>
      <c r="F110" s="477"/>
      <c r="G110" s="467"/>
    </row>
    <row r="111" spans="1:7" ht="13.5" customHeight="1" x14ac:dyDescent="0.25">
      <c r="A111" s="439">
        <v>12</v>
      </c>
      <c r="B111" s="439">
        <v>801</v>
      </c>
      <c r="C111" s="439">
        <v>80151</v>
      </c>
      <c r="D111" s="511">
        <v>2540</v>
      </c>
      <c r="E111" s="493" t="s">
        <v>423</v>
      </c>
      <c r="F111" s="442">
        <f>54992.29</f>
        <v>54992.29</v>
      </c>
    </row>
    <row r="112" spans="1:7" s="394" customFormat="1" ht="13.5" customHeight="1" x14ac:dyDescent="0.25">
      <c r="A112" s="481"/>
      <c r="B112" s="482"/>
      <c r="C112" s="483"/>
      <c r="D112" s="512"/>
      <c r="E112" s="498" t="s">
        <v>424</v>
      </c>
      <c r="F112" s="480"/>
    </row>
    <row r="113" spans="1:6" s="394" customFormat="1" ht="13.5" customHeight="1" x14ac:dyDescent="0.25">
      <c r="A113" s="472"/>
      <c r="B113" s="473"/>
      <c r="C113" s="474"/>
      <c r="D113" s="513"/>
      <c r="E113" s="488" t="s">
        <v>397</v>
      </c>
      <c r="F113" s="477"/>
    </row>
    <row r="114" spans="1:6" ht="78.75" customHeight="1" x14ac:dyDescent="0.25">
      <c r="A114" s="406">
        <v>13</v>
      </c>
      <c r="B114" s="406">
        <v>801</v>
      </c>
      <c r="C114" s="406">
        <v>80152</v>
      </c>
      <c r="D114" s="503" t="s">
        <v>365</v>
      </c>
      <c r="E114" s="416" t="s">
        <v>425</v>
      </c>
      <c r="F114" s="409">
        <f>944760.81+461079.88</f>
        <v>1405840.69</v>
      </c>
    </row>
    <row r="115" spans="1:6" s="394" customFormat="1" ht="13.5" customHeight="1" x14ac:dyDescent="0.25">
      <c r="A115" s="462"/>
      <c r="C115" s="463"/>
      <c r="D115" s="468"/>
      <c r="E115" s="465" t="s">
        <v>403</v>
      </c>
      <c r="F115" s="466"/>
    </row>
    <row r="116" spans="1:6" s="394" customFormat="1" ht="13.5" customHeight="1" x14ac:dyDescent="0.25">
      <c r="A116" s="462"/>
      <c r="C116" s="463"/>
      <c r="D116" s="468"/>
      <c r="E116" s="486" t="s">
        <v>409</v>
      </c>
      <c r="F116" s="471"/>
    </row>
    <row r="117" spans="1:6" s="394" customFormat="1" ht="13.5" customHeight="1" x14ac:dyDescent="0.25">
      <c r="A117" s="462"/>
      <c r="C117" s="463"/>
      <c r="D117" s="464"/>
      <c r="E117" s="514" t="s">
        <v>390</v>
      </c>
      <c r="F117" s="466"/>
    </row>
    <row r="118" spans="1:6" s="394" customFormat="1" ht="22.9" customHeight="1" x14ac:dyDescent="0.25">
      <c r="A118" s="462"/>
      <c r="C118" s="463"/>
      <c r="D118" s="468"/>
      <c r="E118" s="470" t="s">
        <v>406</v>
      </c>
      <c r="F118" s="466"/>
    </row>
    <row r="119" spans="1:6" s="394" customFormat="1" ht="24.75" customHeight="1" x14ac:dyDescent="0.25">
      <c r="A119" s="462"/>
      <c r="C119" s="463"/>
      <c r="D119" s="468"/>
      <c r="E119" s="470" t="s">
        <v>407</v>
      </c>
      <c r="F119" s="471"/>
    </row>
    <row r="120" spans="1:6" s="394" customFormat="1" ht="13.5" customHeight="1" x14ac:dyDescent="0.25">
      <c r="A120" s="462"/>
      <c r="C120" s="463"/>
      <c r="D120" s="468"/>
      <c r="E120" s="486" t="s">
        <v>408</v>
      </c>
      <c r="F120" s="471"/>
    </row>
    <row r="121" spans="1:6" s="394" customFormat="1" ht="24" customHeight="1" x14ac:dyDescent="0.25">
      <c r="A121" s="472"/>
      <c r="B121" s="473"/>
      <c r="C121" s="474"/>
      <c r="D121" s="475"/>
      <c r="E121" s="476" t="s">
        <v>404</v>
      </c>
      <c r="F121" s="477"/>
    </row>
    <row r="122" spans="1:6" ht="15.75" customHeight="1" x14ac:dyDescent="0.25">
      <c r="A122" s="515">
        <v>14</v>
      </c>
      <c r="B122" s="515">
        <v>853</v>
      </c>
      <c r="C122" s="515">
        <v>85311</v>
      </c>
      <c r="D122" s="516">
        <v>2580</v>
      </c>
      <c r="E122" s="517" t="s">
        <v>426</v>
      </c>
      <c r="F122" s="417">
        <f>293325+27500</f>
        <v>320825</v>
      </c>
    </row>
    <row r="123" spans="1:6" s="394" customFormat="1" ht="13.5" customHeight="1" x14ac:dyDescent="0.25">
      <c r="A123" s="456"/>
      <c r="B123" s="457"/>
      <c r="C123" s="474"/>
      <c r="D123" s="518"/>
      <c r="E123" s="473" t="s">
        <v>427</v>
      </c>
      <c r="F123" s="477"/>
    </row>
    <row r="124" spans="1:6" ht="15.75" customHeight="1" x14ac:dyDescent="0.25">
      <c r="A124" s="439">
        <v>15</v>
      </c>
      <c r="B124" s="439">
        <v>854</v>
      </c>
      <c r="C124" s="439">
        <v>85402</v>
      </c>
      <c r="D124" s="516">
        <v>2540</v>
      </c>
      <c r="E124" s="493" t="s">
        <v>428</v>
      </c>
      <c r="F124" s="442">
        <f>1138913.09</f>
        <v>1138913.0900000001</v>
      </c>
    </row>
    <row r="125" spans="1:6" s="394" customFormat="1" ht="13.5" customHeight="1" x14ac:dyDescent="0.25">
      <c r="A125" s="456"/>
      <c r="B125" s="457"/>
      <c r="C125" s="458"/>
      <c r="D125" s="494"/>
      <c r="E125" s="519" t="s">
        <v>429</v>
      </c>
      <c r="F125" s="461"/>
    </row>
    <row r="126" spans="1:6" ht="25.5" customHeight="1" x14ac:dyDescent="0.25">
      <c r="A126" s="406">
        <v>16</v>
      </c>
      <c r="B126" s="406">
        <v>854</v>
      </c>
      <c r="C126" s="406">
        <v>85404</v>
      </c>
      <c r="D126" s="520" t="s">
        <v>365</v>
      </c>
      <c r="E126" s="497" t="s">
        <v>430</v>
      </c>
      <c r="F126" s="409">
        <f>1189786.53+20000</f>
        <v>1209786.53</v>
      </c>
    </row>
    <row r="127" spans="1:6" s="394" customFormat="1" ht="13.5" customHeight="1" x14ac:dyDescent="0.25">
      <c r="A127" s="462"/>
      <c r="C127" s="463"/>
      <c r="D127" s="468"/>
      <c r="E127" s="487" t="s">
        <v>384</v>
      </c>
      <c r="F127" s="466"/>
    </row>
    <row r="128" spans="1:6" s="394" customFormat="1" ht="13.5" customHeight="1" x14ac:dyDescent="0.25">
      <c r="A128" s="462"/>
      <c r="C128" s="463"/>
      <c r="D128" s="468"/>
      <c r="E128" s="521" t="s">
        <v>375</v>
      </c>
      <c r="F128" s="471"/>
    </row>
    <row r="129" spans="1:7" s="394" customFormat="1" ht="13.5" customHeight="1" x14ac:dyDescent="0.25">
      <c r="A129" s="462"/>
      <c r="C129" s="463"/>
      <c r="D129" s="468"/>
      <c r="E129" s="470" t="s">
        <v>418</v>
      </c>
      <c r="F129" s="471"/>
    </row>
    <row r="130" spans="1:7" s="394" customFormat="1" ht="13.5" customHeight="1" x14ac:dyDescent="0.25">
      <c r="A130" s="462"/>
      <c r="C130" s="463"/>
      <c r="D130" s="468"/>
      <c r="E130" s="470" t="s">
        <v>383</v>
      </c>
      <c r="F130" s="471"/>
    </row>
    <row r="131" spans="1:7" s="394" customFormat="1" ht="13.5" customHeight="1" x14ac:dyDescent="0.25">
      <c r="A131" s="462"/>
      <c r="C131" s="463"/>
      <c r="D131" s="468"/>
      <c r="E131" s="486" t="s">
        <v>379</v>
      </c>
      <c r="F131" s="471"/>
    </row>
    <row r="132" spans="1:7" s="394" customFormat="1" ht="13.5" customHeight="1" x14ac:dyDescent="0.25">
      <c r="A132" s="462"/>
      <c r="C132" s="463"/>
      <c r="D132" s="468"/>
      <c r="E132" s="470" t="s">
        <v>419</v>
      </c>
      <c r="F132" s="471"/>
    </row>
    <row r="133" spans="1:7" s="394" customFormat="1" ht="13.5" customHeight="1" x14ac:dyDescent="0.25">
      <c r="A133" s="462"/>
      <c r="C133" s="463"/>
      <c r="D133" s="468"/>
      <c r="E133" s="470" t="s">
        <v>378</v>
      </c>
      <c r="F133" s="471"/>
    </row>
    <row r="134" spans="1:7" s="394" customFormat="1" ht="13.5" customHeight="1" x14ac:dyDescent="0.25">
      <c r="A134" s="462"/>
      <c r="C134" s="463"/>
      <c r="D134" s="468"/>
      <c r="E134" s="509" t="s">
        <v>373</v>
      </c>
      <c r="F134" s="466"/>
    </row>
    <row r="135" spans="1:7" s="394" customFormat="1" ht="13.5" customHeight="1" x14ac:dyDescent="0.25">
      <c r="A135" s="472"/>
      <c r="B135" s="473"/>
      <c r="C135" s="474"/>
      <c r="D135" s="468"/>
      <c r="E135" s="469" t="s">
        <v>386</v>
      </c>
      <c r="F135" s="522"/>
    </row>
    <row r="136" spans="1:7" ht="25.5" customHeight="1" x14ac:dyDescent="0.25">
      <c r="A136" s="523">
        <v>17</v>
      </c>
      <c r="B136" s="523">
        <v>854</v>
      </c>
      <c r="C136" s="523">
        <v>85406</v>
      </c>
      <c r="D136" s="524">
        <v>2540</v>
      </c>
      <c r="E136" s="525" t="s">
        <v>431</v>
      </c>
      <c r="F136" s="409">
        <f>123905.02</f>
        <v>123905.02</v>
      </c>
    </row>
    <row r="137" spans="1:7" s="394" customFormat="1" ht="13.5" customHeight="1" x14ac:dyDescent="0.25">
      <c r="A137" s="481"/>
      <c r="B137" s="482"/>
      <c r="C137" s="483"/>
      <c r="D137" s="489"/>
      <c r="E137" s="526" t="s">
        <v>432</v>
      </c>
      <c r="F137" s="480"/>
    </row>
    <row r="138" spans="1:7" ht="14.25" customHeight="1" x14ac:dyDescent="0.25">
      <c r="A138" s="439">
        <v>18</v>
      </c>
      <c r="B138" s="439">
        <v>854</v>
      </c>
      <c r="C138" s="439">
        <v>85410</v>
      </c>
      <c r="D138" s="516">
        <v>2590</v>
      </c>
      <c r="E138" s="493" t="s">
        <v>197</v>
      </c>
      <c r="F138" s="442">
        <f>1565082.91</f>
        <v>1565082.91</v>
      </c>
    </row>
    <row r="139" spans="1:7" s="394" customFormat="1" ht="13.5" customHeight="1" x14ac:dyDescent="0.25">
      <c r="A139" s="456"/>
      <c r="B139" s="457"/>
      <c r="C139" s="458"/>
      <c r="D139" s="518"/>
      <c r="E139" s="473" t="s">
        <v>433</v>
      </c>
      <c r="F139" s="527"/>
    </row>
    <row r="140" spans="1:7" ht="14.25" customHeight="1" x14ac:dyDescent="0.25">
      <c r="A140" s="591"/>
      <c r="B140" s="592"/>
      <c r="C140" s="592"/>
      <c r="D140" s="405"/>
      <c r="E140" s="592" t="s">
        <v>362</v>
      </c>
      <c r="F140" s="442">
        <f>SUM(F37:F139)</f>
        <v>65563382.840000004</v>
      </c>
    </row>
    <row r="141" spans="1:7" ht="15.75" customHeight="1" x14ac:dyDescent="0.25">
      <c r="A141" s="528"/>
      <c r="B141" s="529"/>
      <c r="C141" s="529"/>
      <c r="D141" s="405"/>
      <c r="E141" s="529" t="s">
        <v>434</v>
      </c>
      <c r="F141" s="530">
        <f>SUM(F34,F140)</f>
        <v>95375355.760000005</v>
      </c>
    </row>
    <row r="143" spans="1:7" ht="12.6" customHeight="1" x14ac:dyDescent="0.25">
      <c r="A143" s="452"/>
      <c r="F143" s="415"/>
    </row>
    <row r="144" spans="1:7" x14ac:dyDescent="0.25">
      <c r="F144" s="415"/>
      <c r="G144" s="394"/>
    </row>
    <row r="145" spans="6:7" x14ac:dyDescent="0.25">
      <c r="F145" s="415"/>
      <c r="G145" s="394"/>
    </row>
    <row r="146" spans="6:7" x14ac:dyDescent="0.25">
      <c r="F146" s="415"/>
    </row>
    <row r="147" spans="6:7" x14ac:dyDescent="0.25">
      <c r="F147" s="415"/>
    </row>
    <row r="148" spans="6:7" x14ac:dyDescent="0.25">
      <c r="F148" s="415"/>
    </row>
    <row r="149" spans="6:7" x14ac:dyDescent="0.25">
      <c r="F149" s="415"/>
    </row>
    <row r="150" spans="6:7" x14ac:dyDescent="0.25">
      <c r="F150" s="415"/>
    </row>
  </sheetData>
  <pageMargins left="0.51181102362204722" right="0.51181102362204722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Zał.Nr1</vt:lpstr>
      <vt:lpstr>Zał.Nr2</vt:lpstr>
      <vt:lpstr>Zał.Nr3</vt:lpstr>
      <vt:lpstr>Zał.Nr4</vt:lpstr>
      <vt:lpstr>Zał.Nr5</vt:lpstr>
      <vt:lpstr>Arkusz1</vt:lpstr>
      <vt:lpstr>Zał.Nr1!Obszar_wydruku</vt:lpstr>
      <vt:lpstr>Zał.Nr2!Obszar_wydruku</vt:lpstr>
      <vt:lpstr>Zał.Nr4!Obszar_wydruku</vt:lpstr>
      <vt:lpstr>Zał.Nr1!Tytuły_wydruku</vt:lpstr>
      <vt:lpstr>Zał.Nr2!Tytuły_wydruku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2026-05-26T12:24:58Z</cp:lastPrinted>
  <dcterms:created xsi:type="dcterms:W3CDTF">2015-06-05T18:19:34Z</dcterms:created>
  <dcterms:modified xsi:type="dcterms:W3CDTF">2026-05-26T12:25:04Z</dcterms:modified>
</cp:coreProperties>
</file>