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mszubska\Desktop\"/>
    </mc:Choice>
  </mc:AlternateContent>
  <xr:revisionPtr revIDLastSave="0" documentId="13_ncr:1_{E0AD6B62-155E-4707-8448-A8F0F420B067}" xr6:coauthVersionLast="47" xr6:coauthVersionMax="47" xr10:uidLastSave="{00000000-0000-0000-0000-000000000000}"/>
  <bookViews>
    <workbookView xWindow="-120" yWindow="-120" windowWidth="29040" windowHeight="15840" firstSheet="2" activeTab="14" xr2:uid="{00000000-000D-0000-FFFF-FFFF00000000}"/>
  </bookViews>
  <sheets>
    <sheet name="ogółem projekt" sheetId="2" r:id="rId1"/>
    <sheet name="Zał.Nr1" sheetId="3" r:id="rId2"/>
    <sheet name="Zał.Nr2" sheetId="4" r:id="rId3"/>
    <sheet name="Zał.Nr3" sheetId="5" r:id="rId4"/>
    <sheet name="Zał.Nr4" sheetId="6" r:id="rId5"/>
    <sheet name="Zał.Nr5" sheetId="7" r:id="rId6"/>
    <sheet name="Zał.Nr6" sheetId="8" r:id="rId7"/>
    <sheet name="Zał.Nr7" sheetId="9" r:id="rId8"/>
    <sheet name="Zał.Nr8" sheetId="10" r:id="rId9"/>
    <sheet name="Zał.Nr9" sheetId="11" r:id="rId10"/>
    <sheet name="Zał.Nr10" sheetId="12" r:id="rId11"/>
    <sheet name="Zał.Nr11" sheetId="13" r:id="rId12"/>
    <sheet name="Zał.Nr12" sheetId="14" r:id="rId13"/>
    <sheet name="Zał.Nr13" sheetId="15" r:id="rId14"/>
    <sheet name="Zał.Nr14" sheetId="16" r:id="rId15"/>
    <sheet name="Arkusz1" sheetId="1" r:id="rId16"/>
  </sheets>
  <definedNames>
    <definedName name="_xlnm._FilterDatabase" localSheetId="3" hidden="1">Zał.Nr3!$C$1:$C$204</definedName>
    <definedName name="_xlnm.Print_Area" localSheetId="0">'ogółem projekt'!$A$1:$N$45</definedName>
    <definedName name="_xlnm.Print_Area" localSheetId="3">Zał.Nr3!$A$3:$P$203</definedName>
    <definedName name="_xlnm.Print_Area" localSheetId="4">Zał.Nr4!$A$1:$I$178</definedName>
    <definedName name="_xlnm.Print_Area" localSheetId="5">Zał.Nr5!$A$1:$D$37</definedName>
    <definedName name="_xlnm.Print_Titles" localSheetId="1">Zał.Nr1!$8:$12</definedName>
    <definedName name="_xlnm.Print_Titles" localSheetId="14">Zał.Nr14!$10:$11</definedName>
    <definedName name="_xlnm.Print_Titles" localSheetId="2">Zał.Nr2!$9:$16</definedName>
    <definedName name="_xlnm.Print_Titles" localSheetId="3">Zał.Nr3!$12:$19</definedName>
    <definedName name="_xlnm.Print_Titles" localSheetId="4">Zał.Nr4!$8:$14</definedName>
    <definedName name="_xlnm.Print_Titles" localSheetId="8">Zał.Nr8!$10:$14</definedName>
    <definedName name="_xlnm.Print_Titles" localSheetId="9">Zał.Nr9!$10:$11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6" l="1"/>
  <c r="G13" i="16"/>
  <c r="G18" i="16" s="1"/>
  <c r="E16" i="15"/>
  <c r="E23" i="15" s="1"/>
  <c r="G34" i="13"/>
  <c r="F34" i="13"/>
  <c r="E34" i="13"/>
  <c r="D34" i="13"/>
  <c r="G18" i="13"/>
  <c r="G35" i="13" s="1"/>
  <c r="F18" i="13"/>
  <c r="F35" i="13" s="1"/>
  <c r="E18" i="13"/>
  <c r="E35" i="13" s="1"/>
  <c r="D18" i="13"/>
  <c r="D35" i="13" s="1"/>
  <c r="F140" i="12"/>
  <c r="F138" i="12"/>
  <c r="F128" i="12"/>
  <c r="F126" i="12"/>
  <c r="F124" i="12"/>
  <c r="F116" i="12"/>
  <c r="F113" i="12"/>
  <c r="F107" i="12"/>
  <c r="F92" i="12"/>
  <c r="F85" i="12"/>
  <c r="F80" i="12"/>
  <c r="F77" i="12"/>
  <c r="F66" i="12"/>
  <c r="F64" i="12"/>
  <c r="F62" i="12"/>
  <c r="F47" i="12"/>
  <c r="F45" i="12"/>
  <c r="F39" i="12"/>
  <c r="F142" i="12" s="1"/>
  <c r="F35" i="12"/>
  <c r="F33" i="12"/>
  <c r="F32" i="12"/>
  <c r="F30" i="12"/>
  <c r="F29" i="12"/>
  <c r="F28" i="12"/>
  <c r="F27" i="12"/>
  <c r="F26" i="12"/>
  <c r="F25" i="12" s="1"/>
  <c r="F24" i="12"/>
  <c r="F23" i="12"/>
  <c r="F22" i="12"/>
  <c r="F21" i="12"/>
  <c r="F20" i="12"/>
  <c r="F19" i="12"/>
  <c r="F18" i="12"/>
  <c r="F17" i="12"/>
  <c r="F16" i="12"/>
  <c r="F15" i="12"/>
  <c r="F14" i="12"/>
  <c r="F13" i="12"/>
  <c r="F36" i="12" s="1"/>
  <c r="F143" i="12" s="1"/>
  <c r="F40" i="11"/>
  <c r="F38" i="11"/>
  <c r="F36" i="11"/>
  <c r="F34" i="11"/>
  <c r="F32" i="11"/>
  <c r="F42" i="11" s="1"/>
  <c r="F30" i="11"/>
  <c r="F43" i="11" s="1"/>
  <c r="F28" i="11"/>
  <c r="F26" i="11"/>
  <c r="F24" i="11"/>
  <c r="F22" i="11"/>
  <c r="F20" i="11"/>
  <c r="F18" i="11"/>
  <c r="F17" i="11"/>
  <c r="F16" i="11"/>
  <c r="E56" i="10" l="1"/>
  <c r="E52" i="10" s="1"/>
  <c r="E49" i="10" s="1"/>
  <c r="E54" i="10"/>
  <c r="E53" i="10"/>
  <c r="G52" i="10"/>
  <c r="F52" i="10"/>
  <c r="F49" i="10" s="1"/>
  <c r="G49" i="10"/>
  <c r="E48" i="10"/>
  <c r="G47" i="10"/>
  <c r="F47" i="10"/>
  <c r="E47" i="10"/>
  <c r="E46" i="10" s="1"/>
  <c r="G46" i="10"/>
  <c r="F46" i="10"/>
  <c r="E45" i="10"/>
  <c r="E44" i="10" s="1"/>
  <c r="E43" i="10" s="1"/>
  <c r="G44" i="10"/>
  <c r="F44" i="10"/>
  <c r="G43" i="10"/>
  <c r="F43" i="10"/>
  <c r="E42" i="10"/>
  <c r="E41" i="10"/>
  <c r="E39" i="10" s="1"/>
  <c r="E40" i="10"/>
  <c r="G39" i="10"/>
  <c r="F39" i="10"/>
  <c r="E37" i="10"/>
  <c r="G36" i="10"/>
  <c r="F36" i="10"/>
  <c r="E36" i="10"/>
  <c r="E34" i="10"/>
  <c r="G32" i="10"/>
  <c r="F32" i="10"/>
  <c r="E32" i="10"/>
  <c r="E30" i="10"/>
  <c r="E29" i="10"/>
  <c r="E28" i="10"/>
  <c r="E26" i="10"/>
  <c r="E16" i="10" s="1"/>
  <c r="E23" i="10"/>
  <c r="E19" i="10"/>
  <c r="E17" i="10"/>
  <c r="G16" i="10"/>
  <c r="G59" i="10" s="1"/>
  <c r="F16" i="10"/>
  <c r="F59" i="10" l="1"/>
  <c r="E59" i="10"/>
  <c r="J20" i="9"/>
  <c r="I20" i="9"/>
  <c r="H20" i="9"/>
  <c r="G20" i="9"/>
  <c r="F20" i="9"/>
  <c r="D20" i="9"/>
  <c r="E19" i="9"/>
  <c r="E18" i="9"/>
  <c r="E17" i="9"/>
  <c r="E16" i="9"/>
  <c r="E20" i="9" s="1"/>
  <c r="I18" i="8"/>
  <c r="H18" i="8"/>
  <c r="G18" i="8"/>
  <c r="F18" i="8"/>
  <c r="D18" i="8"/>
  <c r="E17" i="8"/>
  <c r="E16" i="8"/>
  <c r="E15" i="8"/>
  <c r="E14" i="8"/>
  <c r="E18" i="8" s="1"/>
  <c r="D29" i="7"/>
  <c r="D23" i="7"/>
  <c r="G23" i="7" s="1"/>
  <c r="G21" i="7"/>
  <c r="G15" i="7"/>
  <c r="D11" i="7"/>
  <c r="G10" i="7"/>
  <c r="D10" i="7"/>
  <c r="H10" i="7" s="1"/>
  <c r="I175" i="6"/>
  <c r="G175" i="6"/>
  <c r="G172" i="6" s="1"/>
  <c r="D175" i="6"/>
  <c r="D172" i="6" s="1"/>
  <c r="I172" i="6"/>
  <c r="H172" i="6"/>
  <c r="F172" i="6"/>
  <c r="E172" i="6"/>
  <c r="G170" i="6"/>
  <c r="D170" i="6"/>
  <c r="H167" i="6"/>
  <c r="G167" i="6" s="1"/>
  <c r="E167" i="6"/>
  <c r="D167" i="6"/>
  <c r="G166" i="6"/>
  <c r="D166" i="6"/>
  <c r="H163" i="6"/>
  <c r="G163" i="6"/>
  <c r="E163" i="6"/>
  <c r="D163" i="6" s="1"/>
  <c r="G162" i="6"/>
  <c r="D162" i="6"/>
  <c r="H159" i="6"/>
  <c r="G159" i="6" s="1"/>
  <c r="G147" i="6" s="1"/>
  <c r="E159" i="6"/>
  <c r="D159" i="6"/>
  <c r="G158" i="6"/>
  <c r="D158" i="6"/>
  <c r="G155" i="6"/>
  <c r="F155" i="6"/>
  <c r="F147" i="6" s="1"/>
  <c r="E155" i="6"/>
  <c r="D155" i="6" s="1"/>
  <c r="D147" i="6" s="1"/>
  <c r="G154" i="6"/>
  <c r="D154" i="6"/>
  <c r="G151" i="6"/>
  <c r="F151" i="6"/>
  <c r="E151" i="6"/>
  <c r="D151" i="6"/>
  <c r="G150" i="6"/>
  <c r="D150" i="6"/>
  <c r="I147" i="6"/>
  <c r="G146" i="6"/>
  <c r="D146" i="6"/>
  <c r="G145" i="6"/>
  <c r="D145" i="6"/>
  <c r="G142" i="6"/>
  <c r="F142" i="6"/>
  <c r="E142" i="6"/>
  <c r="D142" i="6"/>
  <c r="G141" i="6"/>
  <c r="D141" i="6"/>
  <c r="I138" i="6"/>
  <c r="H138" i="6"/>
  <c r="G138" i="6"/>
  <c r="F138" i="6"/>
  <c r="E138" i="6"/>
  <c r="D138" i="6"/>
  <c r="G137" i="6"/>
  <c r="E137" i="6"/>
  <c r="D137" i="6"/>
  <c r="G133" i="6"/>
  <c r="E133" i="6"/>
  <c r="D133" i="6" s="1"/>
  <c r="G132" i="6"/>
  <c r="D132" i="6"/>
  <c r="G129" i="6"/>
  <c r="E129" i="6"/>
  <c r="D129" i="6"/>
  <c r="G128" i="6"/>
  <c r="D128" i="6"/>
  <c r="H125" i="6"/>
  <c r="G125" i="6"/>
  <c r="G121" i="6" s="1"/>
  <c r="D125" i="6"/>
  <c r="D121" i="6" s="1"/>
  <c r="I121" i="6"/>
  <c r="H121" i="6"/>
  <c r="F121" i="6"/>
  <c r="E121" i="6"/>
  <c r="G120" i="6"/>
  <c r="D120" i="6"/>
  <c r="G119" i="6"/>
  <c r="D119" i="6"/>
  <c r="I116" i="6"/>
  <c r="H116" i="6"/>
  <c r="G116" i="6"/>
  <c r="F116" i="6"/>
  <c r="E116" i="6"/>
  <c r="D116" i="6"/>
  <c r="G115" i="6"/>
  <c r="D115" i="6"/>
  <c r="G114" i="6"/>
  <c r="F114" i="6"/>
  <c r="E114" i="6"/>
  <c r="D114" i="6" s="1"/>
  <c r="G110" i="6"/>
  <c r="F110" i="6"/>
  <c r="E110" i="6"/>
  <c r="D110" i="6" s="1"/>
  <c r="G106" i="6"/>
  <c r="F106" i="6"/>
  <c r="F103" i="6" s="1"/>
  <c r="E106" i="6"/>
  <c r="D106" i="6" s="1"/>
  <c r="D103" i="6" s="1"/>
  <c r="I103" i="6"/>
  <c r="H103" i="6"/>
  <c r="G103" i="6"/>
  <c r="G102" i="6"/>
  <c r="E102" i="6"/>
  <c r="D102" i="6"/>
  <c r="G98" i="6"/>
  <c r="E98" i="6"/>
  <c r="D98" i="6" s="1"/>
  <c r="G94" i="6"/>
  <c r="E94" i="6"/>
  <c r="D94" i="6"/>
  <c r="G90" i="6"/>
  <c r="E90" i="6"/>
  <c r="D90" i="6"/>
  <c r="G86" i="6"/>
  <c r="E86" i="6"/>
  <c r="D86" i="6"/>
  <c r="G82" i="6"/>
  <c r="D82" i="6"/>
  <c r="G77" i="6"/>
  <c r="D77" i="6"/>
  <c r="G73" i="6"/>
  <c r="E73" i="6"/>
  <c r="D73" i="6" s="1"/>
  <c r="G69" i="6"/>
  <c r="D69" i="6"/>
  <c r="G65" i="6"/>
  <c r="F65" i="6"/>
  <c r="E65" i="6"/>
  <c r="D65" i="6"/>
  <c r="G62" i="6"/>
  <c r="D62" i="6"/>
  <c r="G61" i="6"/>
  <c r="F61" i="6"/>
  <c r="E61" i="6"/>
  <c r="D61" i="6" s="1"/>
  <c r="G58" i="6"/>
  <c r="D58" i="6"/>
  <c r="G57" i="6"/>
  <c r="D57" i="6"/>
  <c r="G54" i="6"/>
  <c r="D54" i="6"/>
  <c r="G53" i="6"/>
  <c r="D53" i="6"/>
  <c r="G50" i="6"/>
  <c r="D50" i="6"/>
  <c r="G49" i="6"/>
  <c r="D49" i="6"/>
  <c r="G46" i="6"/>
  <c r="D46" i="6"/>
  <c r="G45" i="6"/>
  <c r="G18" i="6" s="1"/>
  <c r="D45" i="6"/>
  <c r="G42" i="6"/>
  <c r="E42" i="6"/>
  <c r="D42" i="6"/>
  <c r="G41" i="6"/>
  <c r="F41" i="6"/>
  <c r="F16" i="6" s="1"/>
  <c r="E41" i="6"/>
  <c r="E16" i="6" s="1"/>
  <c r="D41" i="6"/>
  <c r="G38" i="6"/>
  <c r="D38" i="6"/>
  <c r="G37" i="6"/>
  <c r="D37" i="6"/>
  <c r="G34" i="6"/>
  <c r="F34" i="6"/>
  <c r="E34" i="6"/>
  <c r="D34" i="6"/>
  <c r="G33" i="6"/>
  <c r="D33" i="6"/>
  <c r="G30" i="6"/>
  <c r="F30" i="6"/>
  <c r="D30" i="6" s="1"/>
  <c r="E30" i="6"/>
  <c r="G29" i="6"/>
  <c r="J16" i="6" s="1"/>
  <c r="D29" i="6"/>
  <c r="G26" i="6"/>
  <c r="F26" i="6"/>
  <c r="E26" i="6"/>
  <c r="E18" i="6" s="1"/>
  <c r="D26" i="6"/>
  <c r="G25" i="6"/>
  <c r="D25" i="6"/>
  <c r="G22" i="6"/>
  <c r="D22" i="6"/>
  <c r="I21" i="6"/>
  <c r="H21" i="6"/>
  <c r="G21" i="6"/>
  <c r="D21" i="6"/>
  <c r="D18" i="6" s="1"/>
  <c r="I18" i="6"/>
  <c r="H18" i="6"/>
  <c r="F18" i="6"/>
  <c r="I17" i="6"/>
  <c r="H17" i="6"/>
  <c r="I16" i="6"/>
  <c r="H16" i="6"/>
  <c r="H15" i="6" s="1"/>
  <c r="G16" i="6"/>
  <c r="I15" i="6"/>
  <c r="G17" i="6" l="1"/>
  <c r="G15" i="6" s="1"/>
  <c r="F15" i="6"/>
  <c r="D17" i="6"/>
  <c r="D16" i="6"/>
  <c r="D15" i="6" s="1"/>
  <c r="E17" i="6"/>
  <c r="E15" i="6" s="1"/>
  <c r="E147" i="6"/>
  <c r="H147" i="6"/>
  <c r="F17" i="6"/>
  <c r="E103" i="6"/>
  <c r="F203" i="5" l="1"/>
  <c r="O202" i="5"/>
  <c r="N202" i="5"/>
  <c r="M202" i="5"/>
  <c r="L202" i="5"/>
  <c r="K202" i="5"/>
  <c r="J202" i="5"/>
  <c r="I202" i="5"/>
  <c r="H202" i="5"/>
  <c r="G202" i="5"/>
  <c r="F202" i="5"/>
  <c r="F201" i="5"/>
  <c r="F200" i="5" s="1"/>
  <c r="O200" i="5"/>
  <c r="N200" i="5"/>
  <c r="M200" i="5"/>
  <c r="L200" i="5"/>
  <c r="K200" i="5"/>
  <c r="J200" i="5"/>
  <c r="I200" i="5"/>
  <c r="H200" i="5"/>
  <c r="G200" i="5"/>
  <c r="E200" i="5"/>
  <c r="F199" i="5"/>
  <c r="E199" i="5"/>
  <c r="F198" i="5"/>
  <c r="F197" i="5"/>
  <c r="F196" i="5"/>
  <c r="F195" i="5"/>
  <c r="F194" i="5"/>
  <c r="F193" i="5"/>
  <c r="F192" i="5"/>
  <c r="F191" i="5" s="1"/>
  <c r="O191" i="5"/>
  <c r="N191" i="5"/>
  <c r="N190" i="5" s="1"/>
  <c r="M191" i="5"/>
  <c r="L191" i="5"/>
  <c r="L190" i="5" s="1"/>
  <c r="K191" i="5"/>
  <c r="J191" i="5"/>
  <c r="J190" i="5" s="1"/>
  <c r="I191" i="5"/>
  <c r="H191" i="5"/>
  <c r="H190" i="5" s="1"/>
  <c r="G191" i="5"/>
  <c r="E191" i="5"/>
  <c r="O190" i="5"/>
  <c r="M190" i="5"/>
  <c r="K190" i="5"/>
  <c r="I190" i="5"/>
  <c r="G190" i="5"/>
  <c r="E190" i="5"/>
  <c r="F189" i="5"/>
  <c r="O188" i="5"/>
  <c r="N188" i="5"/>
  <c r="M188" i="5"/>
  <c r="L188" i="5"/>
  <c r="K188" i="5"/>
  <c r="J188" i="5"/>
  <c r="I188" i="5"/>
  <c r="H188" i="5"/>
  <c r="G188" i="5"/>
  <c r="F188" i="5"/>
  <c r="E188" i="5"/>
  <c r="F187" i="5"/>
  <c r="O186" i="5"/>
  <c r="N186" i="5"/>
  <c r="M186" i="5"/>
  <c r="L186" i="5"/>
  <c r="K186" i="5"/>
  <c r="J186" i="5"/>
  <c r="I186" i="5"/>
  <c r="H186" i="5"/>
  <c r="G186" i="5"/>
  <c r="F186" i="5"/>
  <c r="E186" i="5"/>
  <c r="F185" i="5"/>
  <c r="O184" i="5"/>
  <c r="N184" i="5"/>
  <c r="M184" i="5"/>
  <c r="L184" i="5"/>
  <c r="K184" i="5"/>
  <c r="J184" i="5"/>
  <c r="I184" i="5"/>
  <c r="H184" i="5"/>
  <c r="G184" i="5"/>
  <c r="F184" i="5"/>
  <c r="E184" i="5"/>
  <c r="F183" i="5"/>
  <c r="O182" i="5"/>
  <c r="O181" i="5" s="1"/>
  <c r="N182" i="5"/>
  <c r="M182" i="5"/>
  <c r="M181" i="5" s="1"/>
  <c r="L182" i="5"/>
  <c r="K182" i="5"/>
  <c r="K181" i="5" s="1"/>
  <c r="J182" i="5"/>
  <c r="I182" i="5"/>
  <c r="I181" i="5" s="1"/>
  <c r="H182" i="5"/>
  <c r="G182" i="5"/>
  <c r="G181" i="5" s="1"/>
  <c r="F182" i="5"/>
  <c r="E182" i="5"/>
  <c r="E181" i="5" s="1"/>
  <c r="N181" i="5"/>
  <c r="L181" i="5"/>
  <c r="J181" i="5"/>
  <c r="H181" i="5"/>
  <c r="F181" i="5"/>
  <c r="F180" i="5"/>
  <c r="F179" i="5"/>
  <c r="F178" i="5"/>
  <c r="F177" i="5"/>
  <c r="F176" i="5"/>
  <c r="F175" i="5"/>
  <c r="F174" i="5"/>
  <c r="F173" i="5" s="1"/>
  <c r="O173" i="5"/>
  <c r="N173" i="5"/>
  <c r="M173" i="5"/>
  <c r="L173" i="5"/>
  <c r="L153" i="5" s="1"/>
  <c r="K173" i="5"/>
  <c r="J173" i="5"/>
  <c r="I173" i="5"/>
  <c r="H173" i="5"/>
  <c r="H153" i="5" s="1"/>
  <c r="G173" i="5"/>
  <c r="E173" i="5"/>
  <c r="F172" i="5"/>
  <c r="F171" i="5"/>
  <c r="F170" i="5"/>
  <c r="F169" i="5" s="1"/>
  <c r="E170" i="5"/>
  <c r="O169" i="5"/>
  <c r="N169" i="5"/>
  <c r="M169" i="5"/>
  <c r="L169" i="5"/>
  <c r="K169" i="5"/>
  <c r="J169" i="5"/>
  <c r="I169" i="5"/>
  <c r="H169" i="5"/>
  <c r="G169" i="5"/>
  <c r="E169" i="5"/>
  <c r="F168" i="5"/>
  <c r="O167" i="5"/>
  <c r="N167" i="5"/>
  <c r="M167" i="5"/>
  <c r="L167" i="5"/>
  <c r="K167" i="5"/>
  <c r="J167" i="5"/>
  <c r="I167" i="5"/>
  <c r="H167" i="5"/>
  <c r="G167" i="5"/>
  <c r="F167" i="5"/>
  <c r="E167" i="5"/>
  <c r="F166" i="5"/>
  <c r="O165" i="5"/>
  <c r="N165" i="5"/>
  <c r="M165" i="5"/>
  <c r="L165" i="5"/>
  <c r="K165" i="5"/>
  <c r="J165" i="5"/>
  <c r="I165" i="5"/>
  <c r="H165" i="5"/>
  <c r="G165" i="5"/>
  <c r="F165" i="5"/>
  <c r="E165" i="5"/>
  <c r="F164" i="5"/>
  <c r="F163" i="5"/>
  <c r="F161" i="5" s="1"/>
  <c r="F162" i="5"/>
  <c r="O161" i="5"/>
  <c r="N161" i="5"/>
  <c r="M161" i="5"/>
  <c r="M153" i="5" s="1"/>
  <c r="L161" i="5"/>
  <c r="K161" i="5"/>
  <c r="J161" i="5"/>
  <c r="I161" i="5"/>
  <c r="I153" i="5" s="1"/>
  <c r="H161" i="5"/>
  <c r="G161" i="5"/>
  <c r="E161" i="5"/>
  <c r="E153" i="5" s="1"/>
  <c r="F160" i="5"/>
  <c r="F159" i="5"/>
  <c r="F158" i="5"/>
  <c r="F157" i="5"/>
  <c r="F156" i="5" s="1"/>
  <c r="O156" i="5"/>
  <c r="N156" i="5"/>
  <c r="M156" i="5"/>
  <c r="L156" i="5"/>
  <c r="K156" i="5"/>
  <c r="J156" i="5"/>
  <c r="I156" i="5"/>
  <c r="H156" i="5"/>
  <c r="G156" i="5"/>
  <c r="E156" i="5"/>
  <c r="F155" i="5"/>
  <c r="F154" i="5" s="1"/>
  <c r="O154" i="5"/>
  <c r="N154" i="5"/>
  <c r="M154" i="5"/>
  <c r="L154" i="5"/>
  <c r="K154" i="5"/>
  <c r="J154" i="5"/>
  <c r="I154" i="5"/>
  <c r="H154" i="5"/>
  <c r="G154" i="5"/>
  <c r="E154" i="5"/>
  <c r="O153" i="5"/>
  <c r="N153" i="5"/>
  <c r="K153" i="5"/>
  <c r="J153" i="5"/>
  <c r="G153" i="5"/>
  <c r="F152" i="5"/>
  <c r="F151" i="5"/>
  <c r="F150" i="5" s="1"/>
  <c r="F149" i="5" s="1"/>
  <c r="O150" i="5"/>
  <c r="N150" i="5"/>
  <c r="N149" i="5" s="1"/>
  <c r="M150" i="5"/>
  <c r="L150" i="5"/>
  <c r="L149" i="5" s="1"/>
  <c r="K150" i="5"/>
  <c r="J150" i="5"/>
  <c r="J149" i="5" s="1"/>
  <c r="I150" i="5"/>
  <c r="H150" i="5"/>
  <c r="H149" i="5" s="1"/>
  <c r="G150" i="5"/>
  <c r="E150" i="5"/>
  <c r="O149" i="5"/>
  <c r="M149" i="5"/>
  <c r="K149" i="5"/>
  <c r="I149" i="5"/>
  <c r="G149" i="5"/>
  <c r="E149" i="5"/>
  <c r="F148" i="5"/>
  <c r="F147" i="5"/>
  <c r="F146" i="5"/>
  <c r="F145" i="5"/>
  <c r="F144" i="5"/>
  <c r="F143" i="5"/>
  <c r="F142" i="5" s="1"/>
  <c r="O142" i="5"/>
  <c r="N142" i="5"/>
  <c r="M142" i="5"/>
  <c r="L142" i="5"/>
  <c r="K142" i="5"/>
  <c r="J142" i="5"/>
  <c r="I142" i="5"/>
  <c r="H142" i="5"/>
  <c r="G142" i="5"/>
  <c r="E142" i="5"/>
  <c r="F141" i="5"/>
  <c r="F140" i="5"/>
  <c r="F139" i="5"/>
  <c r="F138" i="5"/>
  <c r="F137" i="5"/>
  <c r="F136" i="5" s="1"/>
  <c r="O136" i="5"/>
  <c r="N136" i="5"/>
  <c r="M136" i="5"/>
  <c r="L136" i="5"/>
  <c r="L135" i="5" s="1"/>
  <c r="K136" i="5"/>
  <c r="J136" i="5"/>
  <c r="I136" i="5"/>
  <c r="H136" i="5"/>
  <c r="H135" i="5" s="1"/>
  <c r="G136" i="5"/>
  <c r="E136" i="5"/>
  <c r="O135" i="5"/>
  <c r="N135" i="5"/>
  <c r="M135" i="5"/>
  <c r="K135" i="5"/>
  <c r="J135" i="5"/>
  <c r="I135" i="5"/>
  <c r="G135" i="5"/>
  <c r="E135" i="5"/>
  <c r="F134" i="5"/>
  <c r="F133" i="5"/>
  <c r="F132" i="5" s="1"/>
  <c r="F131" i="5" s="1"/>
  <c r="O132" i="5"/>
  <c r="N132" i="5"/>
  <c r="M132" i="5"/>
  <c r="L132" i="5"/>
  <c r="L131" i="5" s="1"/>
  <c r="K132" i="5"/>
  <c r="J132" i="5"/>
  <c r="I132" i="5"/>
  <c r="H132" i="5"/>
  <c r="H131" i="5" s="1"/>
  <c r="G132" i="5"/>
  <c r="E132" i="5"/>
  <c r="O131" i="5"/>
  <c r="N131" i="5"/>
  <c r="M131" i="5"/>
  <c r="K131" i="5"/>
  <c r="J131" i="5"/>
  <c r="I131" i="5"/>
  <c r="G131" i="5"/>
  <c r="E131" i="5"/>
  <c r="F130" i="5"/>
  <c r="O129" i="5"/>
  <c r="O120" i="5" s="1"/>
  <c r="N129" i="5"/>
  <c r="M129" i="5"/>
  <c r="L129" i="5"/>
  <c r="K129" i="5"/>
  <c r="K120" i="5" s="1"/>
  <c r="J129" i="5"/>
  <c r="I129" i="5"/>
  <c r="H129" i="5"/>
  <c r="G129" i="5"/>
  <c r="G120" i="5" s="1"/>
  <c r="F129" i="5"/>
  <c r="E129" i="5"/>
  <c r="F128" i="5"/>
  <c r="F127" i="5"/>
  <c r="F126" i="5"/>
  <c r="F125" i="5"/>
  <c r="F124" i="5"/>
  <c r="F123" i="5"/>
  <c r="F121" i="5" s="1"/>
  <c r="F120" i="5" s="1"/>
  <c r="F122" i="5"/>
  <c r="O121" i="5"/>
  <c r="N121" i="5"/>
  <c r="M121" i="5"/>
  <c r="M120" i="5" s="1"/>
  <c r="L121" i="5"/>
  <c r="K121" i="5"/>
  <c r="J121" i="5"/>
  <c r="I121" i="5"/>
  <c r="I120" i="5" s="1"/>
  <c r="H121" i="5"/>
  <c r="G121" i="5"/>
  <c r="E121" i="5"/>
  <c r="E120" i="5" s="1"/>
  <c r="N120" i="5"/>
  <c r="L120" i="5"/>
  <c r="J120" i="5"/>
  <c r="H120" i="5"/>
  <c r="F119" i="5"/>
  <c r="F118" i="5"/>
  <c r="F117" i="5"/>
  <c r="F116" i="5"/>
  <c r="F115" i="5"/>
  <c r="F114" i="5" s="1"/>
  <c r="O114" i="5"/>
  <c r="N114" i="5"/>
  <c r="M114" i="5"/>
  <c r="L114" i="5"/>
  <c r="L104" i="5" s="1"/>
  <c r="K114" i="5"/>
  <c r="J114" i="5"/>
  <c r="I114" i="5"/>
  <c r="H114" i="5"/>
  <c r="H104" i="5" s="1"/>
  <c r="G114" i="5"/>
  <c r="E114" i="5"/>
  <c r="F113" i="5"/>
  <c r="F111" i="5" s="1"/>
  <c r="F112" i="5"/>
  <c r="O111" i="5"/>
  <c r="N111" i="5"/>
  <c r="M111" i="5"/>
  <c r="L111" i="5"/>
  <c r="K111" i="5"/>
  <c r="J111" i="5"/>
  <c r="I111" i="5"/>
  <c r="H111" i="5"/>
  <c r="G111" i="5"/>
  <c r="E111" i="5"/>
  <c r="F110" i="5"/>
  <c r="O109" i="5"/>
  <c r="N109" i="5"/>
  <c r="M109" i="5"/>
  <c r="L109" i="5"/>
  <c r="K109" i="5"/>
  <c r="J109" i="5"/>
  <c r="I109" i="5"/>
  <c r="H109" i="5"/>
  <c r="G109" i="5"/>
  <c r="F109" i="5"/>
  <c r="E109" i="5"/>
  <c r="F108" i="5"/>
  <c r="F107" i="5"/>
  <c r="F105" i="5" s="1"/>
  <c r="F106" i="5"/>
  <c r="O105" i="5"/>
  <c r="O104" i="5" s="1"/>
  <c r="N105" i="5"/>
  <c r="M105" i="5"/>
  <c r="M104" i="5" s="1"/>
  <c r="L105" i="5"/>
  <c r="K105" i="5"/>
  <c r="K104" i="5" s="1"/>
  <c r="J105" i="5"/>
  <c r="I105" i="5"/>
  <c r="I104" i="5" s="1"/>
  <c r="H105" i="5"/>
  <c r="G105" i="5"/>
  <c r="G104" i="5" s="1"/>
  <c r="E105" i="5"/>
  <c r="E104" i="5" s="1"/>
  <c r="N104" i="5"/>
  <c r="J104" i="5"/>
  <c r="F103" i="5"/>
  <c r="F101" i="5" s="1"/>
  <c r="F98" i="5" s="1"/>
  <c r="F102" i="5"/>
  <c r="O101" i="5"/>
  <c r="N101" i="5"/>
  <c r="M101" i="5"/>
  <c r="L101" i="5"/>
  <c r="K101" i="5"/>
  <c r="J101" i="5"/>
  <c r="I101" i="5"/>
  <c r="H101" i="5"/>
  <c r="G101" i="5"/>
  <c r="E101" i="5"/>
  <c r="F100" i="5"/>
  <c r="O99" i="5"/>
  <c r="O98" i="5" s="1"/>
  <c r="N99" i="5"/>
  <c r="M99" i="5"/>
  <c r="M98" i="5" s="1"/>
  <c r="L99" i="5"/>
  <c r="K99" i="5"/>
  <c r="K98" i="5" s="1"/>
  <c r="J99" i="5"/>
  <c r="I99" i="5"/>
  <c r="I98" i="5" s="1"/>
  <c r="H99" i="5"/>
  <c r="G99" i="5"/>
  <c r="G98" i="5" s="1"/>
  <c r="F99" i="5"/>
  <c r="E99" i="5"/>
  <c r="E98" i="5" s="1"/>
  <c r="N98" i="5"/>
  <c r="L98" i="5"/>
  <c r="J98" i="5"/>
  <c r="H98" i="5"/>
  <c r="F97" i="5"/>
  <c r="F96" i="5"/>
  <c r="G95" i="5"/>
  <c r="F95" i="5" s="1"/>
  <c r="E95" i="5"/>
  <c r="F94" i="5"/>
  <c r="F93" i="5"/>
  <c r="F92" i="5"/>
  <c r="F91" i="5"/>
  <c r="F90" i="5"/>
  <c r="O89" i="5"/>
  <c r="O82" i="5" s="1"/>
  <c r="N89" i="5"/>
  <c r="M89" i="5"/>
  <c r="L89" i="5"/>
  <c r="K89" i="5"/>
  <c r="K82" i="5" s="1"/>
  <c r="J89" i="5"/>
  <c r="I89" i="5"/>
  <c r="H89" i="5"/>
  <c r="G89" i="5"/>
  <c r="G82" i="5" s="1"/>
  <c r="E89" i="5"/>
  <c r="F88" i="5"/>
  <c r="E88" i="5"/>
  <c r="F87" i="5"/>
  <c r="E87" i="5"/>
  <c r="F86" i="5"/>
  <c r="E86" i="5"/>
  <c r="E83" i="5" s="1"/>
  <c r="E82" i="5" s="1"/>
  <c r="F85" i="5"/>
  <c r="F84" i="5"/>
  <c r="O83" i="5"/>
  <c r="N83" i="5"/>
  <c r="N82" i="5" s="1"/>
  <c r="M83" i="5"/>
  <c r="L83" i="5"/>
  <c r="L82" i="5" s="1"/>
  <c r="K83" i="5"/>
  <c r="J83" i="5"/>
  <c r="J82" i="5" s="1"/>
  <c r="I83" i="5"/>
  <c r="H83" i="5"/>
  <c r="H82" i="5" s="1"/>
  <c r="G83" i="5"/>
  <c r="F83" i="5"/>
  <c r="M82" i="5"/>
  <c r="I82" i="5"/>
  <c r="F81" i="5"/>
  <c r="F80" i="5"/>
  <c r="F79" i="5"/>
  <c r="F78" i="5"/>
  <c r="F76" i="5" s="1"/>
  <c r="F75" i="5" s="1"/>
  <c r="F77" i="5"/>
  <c r="O76" i="5"/>
  <c r="O75" i="5" s="1"/>
  <c r="N76" i="5"/>
  <c r="M76" i="5"/>
  <c r="M75" i="5" s="1"/>
  <c r="L76" i="5"/>
  <c r="K76" i="5"/>
  <c r="K75" i="5" s="1"/>
  <c r="J76" i="5"/>
  <c r="I76" i="5"/>
  <c r="I75" i="5" s="1"/>
  <c r="H76" i="5"/>
  <c r="G76" i="5"/>
  <c r="G75" i="5" s="1"/>
  <c r="E76" i="5"/>
  <c r="E75" i="5" s="1"/>
  <c r="N75" i="5"/>
  <c r="L75" i="5"/>
  <c r="J75" i="5"/>
  <c r="H75" i="5"/>
  <c r="F74" i="5"/>
  <c r="F73" i="5"/>
  <c r="F72" i="5"/>
  <c r="F71" i="5"/>
  <c r="F70" i="5"/>
  <c r="F69" i="5"/>
  <c r="F68" i="5"/>
  <c r="O67" i="5"/>
  <c r="N67" i="5"/>
  <c r="N53" i="5" s="1"/>
  <c r="M67" i="5"/>
  <c r="L67" i="5"/>
  <c r="L53" i="5" s="1"/>
  <c r="K67" i="5"/>
  <c r="J67" i="5"/>
  <c r="J53" i="5" s="1"/>
  <c r="I67" i="5"/>
  <c r="H67" i="5"/>
  <c r="H53" i="5" s="1"/>
  <c r="G67" i="5"/>
  <c r="F67" i="5"/>
  <c r="F53" i="5" s="1"/>
  <c r="E67" i="5"/>
  <c r="F66" i="5"/>
  <c r="F65" i="5" s="1"/>
  <c r="N65" i="5"/>
  <c r="M65" i="5"/>
  <c r="L65" i="5"/>
  <c r="K65" i="5"/>
  <c r="J65" i="5"/>
  <c r="I65" i="5"/>
  <c r="H65" i="5"/>
  <c r="G65" i="5"/>
  <c r="E65" i="5"/>
  <c r="F64" i="5"/>
  <c r="F63" i="5"/>
  <c r="F62" i="5"/>
  <c r="F61" i="5"/>
  <c r="F60" i="5"/>
  <c r="F59" i="5"/>
  <c r="F57" i="5" s="1"/>
  <c r="F58" i="5"/>
  <c r="O57" i="5"/>
  <c r="O53" i="5" s="1"/>
  <c r="N57" i="5"/>
  <c r="M57" i="5"/>
  <c r="L57" i="5"/>
  <c r="K57" i="5"/>
  <c r="K53" i="5" s="1"/>
  <c r="J57" i="5"/>
  <c r="I57" i="5"/>
  <c r="H57" i="5"/>
  <c r="G57" i="5"/>
  <c r="E57" i="5"/>
  <c r="F56" i="5"/>
  <c r="G55" i="5"/>
  <c r="F55" i="5" s="1"/>
  <c r="F54" i="5" s="1"/>
  <c r="E55" i="5"/>
  <c r="E54" i="5" s="1"/>
  <c r="E53" i="5" s="1"/>
  <c r="O54" i="5"/>
  <c r="N54" i="5"/>
  <c r="M54" i="5"/>
  <c r="L54" i="5"/>
  <c r="K54" i="5"/>
  <c r="J54" i="5"/>
  <c r="I54" i="5"/>
  <c r="H54" i="5"/>
  <c r="M53" i="5"/>
  <c r="I53" i="5"/>
  <c r="F52" i="5"/>
  <c r="O51" i="5"/>
  <c r="N51" i="5"/>
  <c r="M51" i="5"/>
  <c r="L51" i="5"/>
  <c r="K51" i="5"/>
  <c r="J51" i="5"/>
  <c r="I51" i="5"/>
  <c r="H51" i="5"/>
  <c r="G51" i="5"/>
  <c r="F51" i="5"/>
  <c r="E51" i="5"/>
  <c r="F50" i="5"/>
  <c r="E50" i="5"/>
  <c r="F49" i="5"/>
  <c r="F48" i="5"/>
  <c r="F47" i="5"/>
  <c r="E47" i="5"/>
  <c r="F46" i="5"/>
  <c r="F45" i="5"/>
  <c r="F44" i="5"/>
  <c r="F43" i="5"/>
  <c r="F42" i="5"/>
  <c r="F41" i="5"/>
  <c r="F40" i="5"/>
  <c r="F39" i="5"/>
  <c r="F37" i="5" s="1"/>
  <c r="F38" i="5"/>
  <c r="O37" i="5"/>
  <c r="O21" i="5" s="1"/>
  <c r="N37" i="5"/>
  <c r="M37" i="5"/>
  <c r="L37" i="5"/>
  <c r="K37" i="5"/>
  <c r="K21" i="5" s="1"/>
  <c r="J37" i="5"/>
  <c r="I37" i="5"/>
  <c r="H37" i="5"/>
  <c r="G37" i="5"/>
  <c r="E37" i="5"/>
  <c r="F36" i="5"/>
  <c r="F35" i="5"/>
  <c r="F34" i="5"/>
  <c r="F33" i="5"/>
  <c r="E33" i="5"/>
  <c r="F32" i="5"/>
  <c r="F31" i="5"/>
  <c r="F30" i="5"/>
  <c r="F29" i="5"/>
  <c r="G28" i="5"/>
  <c r="F28" i="5" s="1"/>
  <c r="F27" i="5" s="1"/>
  <c r="O27" i="5"/>
  <c r="N27" i="5"/>
  <c r="M27" i="5"/>
  <c r="L27" i="5"/>
  <c r="K27" i="5"/>
  <c r="J27" i="5"/>
  <c r="I27" i="5"/>
  <c r="H27" i="5"/>
  <c r="E27" i="5"/>
  <c r="F26" i="5"/>
  <c r="F25" i="5"/>
  <c r="G24" i="5"/>
  <c r="F24" i="5"/>
  <c r="G23" i="5"/>
  <c r="F23" i="5"/>
  <c r="O22" i="5"/>
  <c r="N22" i="5"/>
  <c r="N21" i="5" s="1"/>
  <c r="N20" i="5" s="1"/>
  <c r="M22" i="5"/>
  <c r="L22" i="5"/>
  <c r="L21" i="5" s="1"/>
  <c r="L20" i="5" s="1"/>
  <c r="K22" i="5"/>
  <c r="J22" i="5"/>
  <c r="J21" i="5" s="1"/>
  <c r="J20" i="5" s="1"/>
  <c r="I22" i="5"/>
  <c r="H22" i="5"/>
  <c r="H21" i="5" s="1"/>
  <c r="H20" i="5" s="1"/>
  <c r="G22" i="5"/>
  <c r="F22" i="5"/>
  <c r="F21" i="5" s="1"/>
  <c r="E22" i="5"/>
  <c r="M21" i="5"/>
  <c r="M20" i="5" s="1"/>
  <c r="I21" i="5"/>
  <c r="I20" i="5" s="1"/>
  <c r="E21" i="5"/>
  <c r="E20" i="5" s="1"/>
  <c r="F153" i="5" l="1"/>
  <c r="F190" i="5"/>
  <c r="K20" i="5"/>
  <c r="O20" i="5"/>
  <c r="F89" i="5"/>
  <c r="F82" i="5" s="1"/>
  <c r="F104" i="5"/>
  <c r="F20" i="5" s="1"/>
  <c r="F135" i="5"/>
  <c r="G54" i="5"/>
  <c r="G53" i="5" s="1"/>
  <c r="G27" i="5"/>
  <c r="G21" i="5" s="1"/>
  <c r="G20" i="5" l="1"/>
  <c r="L272" i="4"/>
  <c r="F272" i="4"/>
  <c r="N271" i="4"/>
  <c r="M271" i="4"/>
  <c r="L271" i="4"/>
  <c r="K271" i="4"/>
  <c r="J271" i="4"/>
  <c r="I271" i="4"/>
  <c r="H271" i="4"/>
  <c r="G271" i="4"/>
  <c r="L269" i="4"/>
  <c r="F269" i="4"/>
  <c r="E269" i="4"/>
  <c r="N267" i="4"/>
  <c r="M267" i="4"/>
  <c r="L267" i="4"/>
  <c r="K267" i="4"/>
  <c r="J267" i="4"/>
  <c r="I267" i="4"/>
  <c r="H267" i="4"/>
  <c r="G267" i="4"/>
  <c r="F267" i="4"/>
  <c r="L266" i="4"/>
  <c r="F266" i="4"/>
  <c r="F265" i="4" s="1"/>
  <c r="N265" i="4"/>
  <c r="M265" i="4"/>
  <c r="L265" i="4"/>
  <c r="K265" i="4"/>
  <c r="J265" i="4"/>
  <c r="I265" i="4"/>
  <c r="H265" i="4"/>
  <c r="G265" i="4"/>
  <c r="L264" i="4"/>
  <c r="L263" i="4" s="1"/>
  <c r="F264" i="4"/>
  <c r="E264" i="4"/>
  <c r="E263" i="4" s="1"/>
  <c r="N263" i="4"/>
  <c r="N273" i="4" s="1"/>
  <c r="M263" i="4"/>
  <c r="K263" i="4"/>
  <c r="J263" i="4"/>
  <c r="I263" i="4"/>
  <c r="H263" i="4"/>
  <c r="G263" i="4"/>
  <c r="F263" i="4"/>
  <c r="L261" i="4"/>
  <c r="F261" i="4"/>
  <c r="E261" i="4" s="1"/>
  <c r="D261" i="4" s="1"/>
  <c r="L260" i="4"/>
  <c r="F260" i="4"/>
  <c r="N259" i="4"/>
  <c r="M259" i="4"/>
  <c r="L259" i="4"/>
  <c r="K259" i="4"/>
  <c r="J259" i="4"/>
  <c r="I259" i="4"/>
  <c r="H259" i="4"/>
  <c r="G259" i="4"/>
  <c r="L258" i="4"/>
  <c r="F258" i="4"/>
  <c r="E258" i="4"/>
  <c r="N257" i="4"/>
  <c r="M257" i="4"/>
  <c r="L257" i="4"/>
  <c r="K257" i="4"/>
  <c r="J257" i="4"/>
  <c r="I257" i="4"/>
  <c r="H257" i="4"/>
  <c r="G257" i="4"/>
  <c r="F257" i="4"/>
  <c r="L256" i="4"/>
  <c r="F256" i="4"/>
  <c r="E256" i="4" s="1"/>
  <c r="D256" i="4"/>
  <c r="L255" i="4"/>
  <c r="F255" i="4"/>
  <c r="E255" i="4" s="1"/>
  <c r="D255" i="4"/>
  <c r="L254" i="4"/>
  <c r="F254" i="4"/>
  <c r="E254" i="4" s="1"/>
  <c r="D254" i="4" s="1"/>
  <c r="L253" i="4"/>
  <c r="F253" i="4"/>
  <c r="F252" i="4" s="1"/>
  <c r="N252" i="4"/>
  <c r="M252" i="4"/>
  <c r="L252" i="4"/>
  <c r="K252" i="4"/>
  <c r="J252" i="4"/>
  <c r="I252" i="4"/>
  <c r="H252" i="4"/>
  <c r="G252" i="4"/>
  <c r="L251" i="4"/>
  <c r="L250" i="4" s="1"/>
  <c r="F251" i="4"/>
  <c r="E251" i="4"/>
  <c r="E250" i="4" s="1"/>
  <c r="N250" i="4"/>
  <c r="M250" i="4"/>
  <c r="K250" i="4"/>
  <c r="J250" i="4"/>
  <c r="J273" i="4" s="1"/>
  <c r="I250" i="4"/>
  <c r="H250" i="4"/>
  <c r="G250" i="4"/>
  <c r="F250" i="4"/>
  <c r="L249" i="4"/>
  <c r="L248" i="4" s="1"/>
  <c r="L273" i="4" s="1"/>
  <c r="F249" i="4"/>
  <c r="N248" i="4"/>
  <c r="M248" i="4"/>
  <c r="M273" i="4" s="1"/>
  <c r="K248" i="4"/>
  <c r="J248" i="4"/>
  <c r="I248" i="4"/>
  <c r="I273" i="4" s="1"/>
  <c r="H248" i="4"/>
  <c r="H273" i="4" s="1"/>
  <c r="G248" i="4"/>
  <c r="H246" i="4"/>
  <c r="L245" i="4"/>
  <c r="F245" i="4"/>
  <c r="E245" i="4" s="1"/>
  <c r="D245" i="4"/>
  <c r="L242" i="4"/>
  <c r="F242" i="4"/>
  <c r="E242" i="4" s="1"/>
  <c r="D242" i="4"/>
  <c r="L241" i="4"/>
  <c r="F241" i="4"/>
  <c r="F238" i="4" s="1"/>
  <c r="N238" i="4"/>
  <c r="M238" i="4"/>
  <c r="L238" i="4"/>
  <c r="K238" i="4"/>
  <c r="J238" i="4"/>
  <c r="I238" i="4"/>
  <c r="H238" i="4"/>
  <c r="G238" i="4"/>
  <c r="L237" i="4"/>
  <c r="F237" i="4"/>
  <c r="E237" i="4"/>
  <c r="L236" i="4"/>
  <c r="F236" i="4"/>
  <c r="E236" i="4"/>
  <c r="D236" i="4" s="1"/>
  <c r="L234" i="4"/>
  <c r="F234" i="4"/>
  <c r="E234" i="4"/>
  <c r="D234" i="4" s="1"/>
  <c r="L233" i="4"/>
  <c r="L232" i="4" s="1"/>
  <c r="F233" i="4"/>
  <c r="E233" i="4"/>
  <c r="E232" i="4" s="1"/>
  <c r="N232" i="4"/>
  <c r="M232" i="4"/>
  <c r="K232" i="4"/>
  <c r="J232" i="4"/>
  <c r="I232" i="4"/>
  <c r="H232" i="4"/>
  <c r="G232" i="4"/>
  <c r="F232" i="4"/>
  <c r="L231" i="4"/>
  <c r="F231" i="4"/>
  <c r="N230" i="4"/>
  <c r="M230" i="4"/>
  <c r="L230" i="4"/>
  <c r="K230" i="4"/>
  <c r="J230" i="4"/>
  <c r="I230" i="4"/>
  <c r="H230" i="4"/>
  <c r="G230" i="4"/>
  <c r="L229" i="4"/>
  <c r="F229" i="4"/>
  <c r="E229" i="4"/>
  <c r="N227" i="4"/>
  <c r="M227" i="4"/>
  <c r="L227" i="4"/>
  <c r="L246" i="4" s="1"/>
  <c r="K227" i="4"/>
  <c r="J227" i="4"/>
  <c r="I227" i="4"/>
  <c r="H227" i="4"/>
  <c r="G227" i="4"/>
  <c r="F227" i="4"/>
  <c r="L225" i="4"/>
  <c r="F225" i="4"/>
  <c r="E225" i="4" s="1"/>
  <c r="E224" i="4" s="1"/>
  <c r="N224" i="4"/>
  <c r="M224" i="4"/>
  <c r="M246" i="4" s="1"/>
  <c r="L224" i="4"/>
  <c r="K224" i="4"/>
  <c r="K246" i="4" s="1"/>
  <c r="J224" i="4"/>
  <c r="J246" i="4" s="1"/>
  <c r="I224" i="4"/>
  <c r="I246" i="4" s="1"/>
  <c r="H224" i="4"/>
  <c r="G224" i="4"/>
  <c r="G246" i="4" s="1"/>
  <c r="F224" i="4"/>
  <c r="L220" i="4"/>
  <c r="F220" i="4"/>
  <c r="E220" i="4"/>
  <c r="N219" i="4"/>
  <c r="M219" i="4"/>
  <c r="L219" i="4"/>
  <c r="K219" i="4"/>
  <c r="J219" i="4"/>
  <c r="I219" i="4"/>
  <c r="H219" i="4"/>
  <c r="G219" i="4"/>
  <c r="F219" i="4"/>
  <c r="L218" i="4"/>
  <c r="F218" i="4"/>
  <c r="E218" i="4" s="1"/>
  <c r="E217" i="4" s="1"/>
  <c r="D218" i="4"/>
  <c r="D217" i="4" s="1"/>
  <c r="N217" i="4"/>
  <c r="M217" i="4"/>
  <c r="L217" i="4"/>
  <c r="K217" i="4"/>
  <c r="J217" i="4"/>
  <c r="I217" i="4"/>
  <c r="H217" i="4"/>
  <c r="G217" i="4"/>
  <c r="F217" i="4"/>
  <c r="L216" i="4"/>
  <c r="F216" i="4"/>
  <c r="E216" i="4"/>
  <c r="D216" i="4" s="1"/>
  <c r="L215" i="4"/>
  <c r="F215" i="4"/>
  <c r="E215" i="4"/>
  <c r="D215" i="4" s="1"/>
  <c r="L214" i="4"/>
  <c r="L213" i="4" s="1"/>
  <c r="F214" i="4"/>
  <c r="E214" i="4"/>
  <c r="N213" i="4"/>
  <c r="M213" i="4"/>
  <c r="K213" i="4"/>
  <c r="J213" i="4"/>
  <c r="I213" i="4"/>
  <c r="H213" i="4"/>
  <c r="G213" i="4"/>
  <c r="F213" i="4"/>
  <c r="E213" i="4"/>
  <c r="L212" i="4"/>
  <c r="F212" i="4"/>
  <c r="E212" i="4" s="1"/>
  <c r="D212" i="4" s="1"/>
  <c r="L211" i="4"/>
  <c r="F211" i="4"/>
  <c r="E211" i="4" s="1"/>
  <c r="D211" i="4" s="1"/>
  <c r="L210" i="4"/>
  <c r="F210" i="4"/>
  <c r="E210" i="4" s="1"/>
  <c r="D210" i="4" s="1"/>
  <c r="L209" i="4"/>
  <c r="F209" i="4"/>
  <c r="E209" i="4" s="1"/>
  <c r="D209" i="4" s="1"/>
  <c r="L208" i="4"/>
  <c r="F208" i="4"/>
  <c r="E208" i="4" s="1"/>
  <c r="D208" i="4" s="1"/>
  <c r="L206" i="4"/>
  <c r="F206" i="4"/>
  <c r="E206" i="4" s="1"/>
  <c r="D206" i="4" s="1"/>
  <c r="L205" i="4"/>
  <c r="F205" i="4"/>
  <c r="N204" i="4"/>
  <c r="M204" i="4"/>
  <c r="L204" i="4"/>
  <c r="K204" i="4"/>
  <c r="J204" i="4"/>
  <c r="I204" i="4"/>
  <c r="I221" i="4" s="1"/>
  <c r="H204" i="4"/>
  <c r="G204" i="4"/>
  <c r="L203" i="4"/>
  <c r="F203" i="4"/>
  <c r="E203" i="4"/>
  <c r="D203" i="4" s="1"/>
  <c r="L202" i="4"/>
  <c r="F202" i="4"/>
  <c r="E202" i="4"/>
  <c r="D202" i="4" s="1"/>
  <c r="L201" i="4"/>
  <c r="F201" i="4"/>
  <c r="E201" i="4"/>
  <c r="N199" i="4"/>
  <c r="M199" i="4"/>
  <c r="L199" i="4"/>
  <c r="K199" i="4"/>
  <c r="J199" i="4"/>
  <c r="I199" i="4"/>
  <c r="H199" i="4"/>
  <c r="G199" i="4"/>
  <c r="F199" i="4"/>
  <c r="L197" i="4"/>
  <c r="F197" i="4"/>
  <c r="E197" i="4" s="1"/>
  <c r="E196" i="4" s="1"/>
  <c r="D197" i="4"/>
  <c r="D196" i="4" s="1"/>
  <c r="N196" i="4"/>
  <c r="M196" i="4"/>
  <c r="L196" i="4"/>
  <c r="K196" i="4"/>
  <c r="J196" i="4"/>
  <c r="I196" i="4"/>
  <c r="H196" i="4"/>
  <c r="G196" i="4"/>
  <c r="F196" i="4"/>
  <c r="L195" i="4"/>
  <c r="F195" i="4"/>
  <c r="E195" i="4"/>
  <c r="D195" i="4" s="1"/>
  <c r="L194" i="4"/>
  <c r="F194" i="4"/>
  <c r="E194" i="4"/>
  <c r="D194" i="4" s="1"/>
  <c r="L185" i="4"/>
  <c r="F185" i="4"/>
  <c r="E185" i="4"/>
  <c r="L184" i="4"/>
  <c r="F184" i="4"/>
  <c r="E184" i="4"/>
  <c r="L183" i="4"/>
  <c r="F183" i="4"/>
  <c r="E183" i="4"/>
  <c r="D183" i="4" s="1"/>
  <c r="L182" i="4"/>
  <c r="F182" i="4"/>
  <c r="E182" i="4"/>
  <c r="D182" i="4" s="1"/>
  <c r="L181" i="4"/>
  <c r="F181" i="4"/>
  <c r="E181" i="4"/>
  <c r="L179" i="4"/>
  <c r="F179" i="4"/>
  <c r="E179" i="4"/>
  <c r="L178" i="4"/>
  <c r="F178" i="4"/>
  <c r="E178" i="4"/>
  <c r="D178" i="4" s="1"/>
  <c r="L177" i="4"/>
  <c r="F177" i="4"/>
  <c r="E177" i="4"/>
  <c r="D177" i="4" s="1"/>
  <c r="L176" i="4"/>
  <c r="F176" i="4"/>
  <c r="E176" i="4"/>
  <c r="L175" i="4"/>
  <c r="F175" i="4"/>
  <c r="E175" i="4"/>
  <c r="L174" i="4"/>
  <c r="F174" i="4"/>
  <c r="E174" i="4"/>
  <c r="D174" i="4" s="1"/>
  <c r="L173" i="4"/>
  <c r="F173" i="4"/>
  <c r="E173" i="4"/>
  <c r="D173" i="4" s="1"/>
  <c r="L172" i="4"/>
  <c r="F172" i="4"/>
  <c r="E172" i="4"/>
  <c r="L171" i="4"/>
  <c r="F171" i="4"/>
  <c r="E171" i="4"/>
  <c r="L170" i="4"/>
  <c r="F170" i="4"/>
  <c r="E170" i="4"/>
  <c r="D170" i="4" s="1"/>
  <c r="L169" i="4"/>
  <c r="F169" i="4"/>
  <c r="E169" i="4"/>
  <c r="D169" i="4" s="1"/>
  <c r="N168" i="4"/>
  <c r="M168" i="4"/>
  <c r="K168" i="4"/>
  <c r="J168" i="4"/>
  <c r="I168" i="4"/>
  <c r="H168" i="4"/>
  <c r="G168" i="4"/>
  <c r="F168" i="4"/>
  <c r="E168" i="4"/>
  <c r="L167" i="4"/>
  <c r="F167" i="4"/>
  <c r="E167" i="4" s="1"/>
  <c r="D167" i="4" s="1"/>
  <c r="L166" i="4"/>
  <c r="F166" i="4"/>
  <c r="N165" i="4"/>
  <c r="M165" i="4"/>
  <c r="L165" i="4"/>
  <c r="K165" i="4"/>
  <c r="J165" i="4"/>
  <c r="I165" i="4"/>
  <c r="H165" i="4"/>
  <c r="G165" i="4"/>
  <c r="L163" i="4"/>
  <c r="F163" i="4"/>
  <c r="E163" i="4"/>
  <c r="N162" i="4"/>
  <c r="M162" i="4"/>
  <c r="L162" i="4"/>
  <c r="K162" i="4"/>
  <c r="J162" i="4"/>
  <c r="I162" i="4"/>
  <c r="H162" i="4"/>
  <c r="G162" i="4"/>
  <c r="F162" i="4"/>
  <c r="L161" i="4"/>
  <c r="F161" i="4"/>
  <c r="E161" i="4"/>
  <c r="D161" i="4"/>
  <c r="L160" i="4"/>
  <c r="F160" i="4"/>
  <c r="E160" i="4"/>
  <c r="D160" i="4"/>
  <c r="L159" i="4"/>
  <c r="F159" i="4"/>
  <c r="E159" i="4"/>
  <c r="D159" i="4"/>
  <c r="D158" i="4" s="1"/>
  <c r="N158" i="4"/>
  <c r="M158" i="4"/>
  <c r="L158" i="4"/>
  <c r="K158" i="4"/>
  <c r="J158" i="4"/>
  <c r="I158" i="4"/>
  <c r="H158" i="4"/>
  <c r="G158" i="4"/>
  <c r="F158" i="4"/>
  <c r="E158" i="4"/>
  <c r="L157" i="4"/>
  <c r="L156" i="4" s="1"/>
  <c r="F157" i="4"/>
  <c r="E157" i="4" s="1"/>
  <c r="N156" i="4"/>
  <c r="M156" i="4"/>
  <c r="K156" i="4"/>
  <c r="J156" i="4"/>
  <c r="I156" i="4"/>
  <c r="H156" i="4"/>
  <c r="G156" i="4"/>
  <c r="F156" i="4"/>
  <c r="L155" i="4"/>
  <c r="F155" i="4"/>
  <c r="N154" i="4"/>
  <c r="M154" i="4"/>
  <c r="M221" i="4" s="1"/>
  <c r="L154" i="4"/>
  <c r="K154" i="4"/>
  <c r="J154" i="4"/>
  <c r="I154" i="4"/>
  <c r="H154" i="4"/>
  <c r="G154" i="4"/>
  <c r="L153" i="4"/>
  <c r="F153" i="4"/>
  <c r="E153" i="4"/>
  <c r="D153" i="4" s="1"/>
  <c r="L152" i="4"/>
  <c r="F152" i="4"/>
  <c r="E152" i="4"/>
  <c r="N151" i="4"/>
  <c r="M151" i="4"/>
  <c r="L151" i="4"/>
  <c r="K151" i="4"/>
  <c r="J151" i="4"/>
  <c r="J221" i="4" s="1"/>
  <c r="I151" i="4"/>
  <c r="H151" i="4"/>
  <c r="G151" i="4"/>
  <c r="F151" i="4"/>
  <c r="L148" i="4"/>
  <c r="F148" i="4"/>
  <c r="E148" i="4"/>
  <c r="L147" i="4"/>
  <c r="F147" i="4"/>
  <c r="E147" i="4"/>
  <c r="L146" i="4"/>
  <c r="F146" i="4"/>
  <c r="E146" i="4"/>
  <c r="D146" i="4" s="1"/>
  <c r="L145" i="4"/>
  <c r="F145" i="4"/>
  <c r="E145" i="4"/>
  <c r="D145" i="4" s="1"/>
  <c r="N144" i="4"/>
  <c r="M144" i="4"/>
  <c r="K144" i="4"/>
  <c r="J144" i="4"/>
  <c r="I144" i="4"/>
  <c r="H144" i="4"/>
  <c r="G144" i="4"/>
  <c r="F144" i="4"/>
  <c r="E144" i="4"/>
  <c r="L143" i="4"/>
  <c r="F143" i="4"/>
  <c r="E143" i="4" s="1"/>
  <c r="D143" i="4" s="1"/>
  <c r="L142" i="4"/>
  <c r="F142" i="4"/>
  <c r="E142" i="4" s="1"/>
  <c r="D142" i="4" s="1"/>
  <c r="L141" i="4"/>
  <c r="F141" i="4"/>
  <c r="E141" i="4" s="1"/>
  <c r="D141" i="4" s="1"/>
  <c r="L140" i="4"/>
  <c r="F140" i="4"/>
  <c r="E140" i="4" s="1"/>
  <c r="D140" i="4" s="1"/>
  <c r="L139" i="4"/>
  <c r="F139" i="4"/>
  <c r="E139" i="4" s="1"/>
  <c r="D139" i="4" s="1"/>
  <c r="L138" i="4"/>
  <c r="F138" i="4"/>
  <c r="N137" i="4"/>
  <c r="M137" i="4"/>
  <c r="L137" i="4"/>
  <c r="K137" i="4"/>
  <c r="J137" i="4"/>
  <c r="I137" i="4"/>
  <c r="H137" i="4"/>
  <c r="G137" i="4"/>
  <c r="L136" i="4"/>
  <c r="F136" i="4"/>
  <c r="E136" i="4"/>
  <c r="D136" i="4" s="1"/>
  <c r="L135" i="4"/>
  <c r="F135" i="4"/>
  <c r="E135" i="4"/>
  <c r="D135" i="4" s="1"/>
  <c r="L134" i="4"/>
  <c r="F134" i="4"/>
  <c r="E134" i="4"/>
  <c r="D134" i="4" s="1"/>
  <c r="L133" i="4"/>
  <c r="F133" i="4"/>
  <c r="E133" i="4"/>
  <c r="D133" i="4" s="1"/>
  <c r="L132" i="4"/>
  <c r="F132" i="4"/>
  <c r="E132" i="4"/>
  <c r="D132" i="4" s="1"/>
  <c r="L131" i="4"/>
  <c r="F131" i="4"/>
  <c r="E131" i="4"/>
  <c r="D131" i="4" s="1"/>
  <c r="L130" i="4"/>
  <c r="F130" i="4"/>
  <c r="E130" i="4"/>
  <c r="D130" i="4" s="1"/>
  <c r="L129" i="4"/>
  <c r="F129" i="4"/>
  <c r="E129" i="4"/>
  <c r="D129" i="4" s="1"/>
  <c r="L128" i="4"/>
  <c r="F128" i="4"/>
  <c r="E128" i="4"/>
  <c r="N127" i="4"/>
  <c r="M127" i="4"/>
  <c r="L127" i="4"/>
  <c r="K127" i="4"/>
  <c r="J127" i="4"/>
  <c r="I127" i="4"/>
  <c r="H127" i="4"/>
  <c r="G127" i="4"/>
  <c r="F127" i="4"/>
  <c r="L126" i="4"/>
  <c r="F126" i="4"/>
  <c r="E126" i="4"/>
  <c r="D126" i="4"/>
  <c r="L125" i="4"/>
  <c r="F125" i="4"/>
  <c r="E125" i="4"/>
  <c r="D125" i="4"/>
  <c r="L124" i="4"/>
  <c r="F124" i="4"/>
  <c r="E124" i="4"/>
  <c r="D124" i="4"/>
  <c r="L123" i="4"/>
  <c r="F123" i="4"/>
  <c r="E123" i="4"/>
  <c r="D123" i="4"/>
  <c r="L120" i="4"/>
  <c r="F120" i="4"/>
  <c r="E120" i="4"/>
  <c r="E119" i="4" s="1"/>
  <c r="D120" i="4"/>
  <c r="D119" i="4" s="1"/>
  <c r="N119" i="4"/>
  <c r="M119" i="4"/>
  <c r="L119" i="4"/>
  <c r="K119" i="4"/>
  <c r="J119" i="4"/>
  <c r="I119" i="4"/>
  <c r="H119" i="4"/>
  <c r="G119" i="4"/>
  <c r="F119" i="4"/>
  <c r="L118" i="4"/>
  <c r="D118" i="4" s="1"/>
  <c r="F118" i="4"/>
  <c r="E118" i="4"/>
  <c r="L117" i="4"/>
  <c r="F117" i="4"/>
  <c r="E117" i="4"/>
  <c r="L116" i="4"/>
  <c r="F116" i="4"/>
  <c r="E116" i="4"/>
  <c r="D116" i="4"/>
  <c r="L113" i="4"/>
  <c r="F113" i="4"/>
  <c r="E113" i="4"/>
  <c r="N112" i="4"/>
  <c r="M112" i="4"/>
  <c r="K112" i="4"/>
  <c r="J112" i="4"/>
  <c r="I112" i="4"/>
  <c r="H112" i="4"/>
  <c r="G112" i="4"/>
  <c r="F112" i="4"/>
  <c r="L111" i="4"/>
  <c r="L110" i="4" s="1"/>
  <c r="F111" i="4"/>
  <c r="E111" i="4" s="1"/>
  <c r="D111" i="4" s="1"/>
  <c r="D110" i="4" s="1"/>
  <c r="N110" i="4"/>
  <c r="M110" i="4"/>
  <c r="K110" i="4"/>
  <c r="J110" i="4"/>
  <c r="I110" i="4"/>
  <c r="H110" i="4"/>
  <c r="G110" i="4"/>
  <c r="F110" i="4"/>
  <c r="E110" i="4"/>
  <c r="L108" i="4"/>
  <c r="F108" i="4"/>
  <c r="E108" i="4"/>
  <c r="D108" i="4" s="1"/>
  <c r="L107" i="4"/>
  <c r="F107" i="4"/>
  <c r="E107" i="4"/>
  <c r="D107" i="4" s="1"/>
  <c r="L106" i="4"/>
  <c r="F106" i="4"/>
  <c r="E106" i="4"/>
  <c r="D106" i="4" s="1"/>
  <c r="L104" i="4"/>
  <c r="F104" i="4"/>
  <c r="E104" i="4"/>
  <c r="D104" i="4" s="1"/>
  <c r="L101" i="4"/>
  <c r="F101" i="4"/>
  <c r="E101" i="4"/>
  <c r="D101" i="4" s="1"/>
  <c r="L100" i="4"/>
  <c r="F100" i="4"/>
  <c r="E100" i="4"/>
  <c r="D100" i="4" s="1"/>
  <c r="L99" i="4"/>
  <c r="F99" i="4"/>
  <c r="E99" i="4"/>
  <c r="D99" i="4" s="1"/>
  <c r="L98" i="4"/>
  <c r="F98" i="4"/>
  <c r="E98" i="4"/>
  <c r="D98" i="4" s="1"/>
  <c r="L96" i="4"/>
  <c r="F96" i="4"/>
  <c r="E96" i="4"/>
  <c r="D96" i="4" s="1"/>
  <c r="L92" i="4"/>
  <c r="F92" i="4"/>
  <c r="E92" i="4"/>
  <c r="D92" i="4" s="1"/>
  <c r="L90" i="4"/>
  <c r="F90" i="4"/>
  <c r="E90" i="4"/>
  <c r="D90" i="4" s="1"/>
  <c r="L89" i="4"/>
  <c r="F89" i="4"/>
  <c r="F88" i="4" s="1"/>
  <c r="E89" i="4"/>
  <c r="N88" i="4"/>
  <c r="M88" i="4"/>
  <c r="L88" i="4"/>
  <c r="K88" i="4"/>
  <c r="J88" i="4"/>
  <c r="I88" i="4"/>
  <c r="H88" i="4"/>
  <c r="G88" i="4"/>
  <c r="L87" i="4"/>
  <c r="F87" i="4"/>
  <c r="E87" i="4"/>
  <c r="D87" i="4"/>
  <c r="L86" i="4"/>
  <c r="F86" i="4"/>
  <c r="E86" i="4"/>
  <c r="D86" i="4"/>
  <c r="L85" i="4"/>
  <c r="F85" i="4"/>
  <c r="E85" i="4"/>
  <c r="D85" i="4"/>
  <c r="L84" i="4"/>
  <c r="F84" i="4"/>
  <c r="E84" i="4"/>
  <c r="E83" i="4" s="1"/>
  <c r="D84" i="4"/>
  <c r="D83" i="4" s="1"/>
  <c r="N83" i="4"/>
  <c r="M83" i="4"/>
  <c r="L83" i="4"/>
  <c r="K83" i="4"/>
  <c r="J83" i="4"/>
  <c r="I83" i="4"/>
  <c r="H83" i="4"/>
  <c r="G83" i="4"/>
  <c r="F83" i="4"/>
  <c r="L82" i="4"/>
  <c r="F82" i="4"/>
  <c r="E82" i="4" s="1"/>
  <c r="D82" i="4" s="1"/>
  <c r="L81" i="4"/>
  <c r="F81" i="4"/>
  <c r="E81" i="4" s="1"/>
  <c r="L78" i="4"/>
  <c r="F78" i="4"/>
  <c r="E78" i="4" s="1"/>
  <c r="D78" i="4" s="1"/>
  <c r="L73" i="4"/>
  <c r="F73" i="4"/>
  <c r="E73" i="4" s="1"/>
  <c r="L72" i="4"/>
  <c r="F72" i="4"/>
  <c r="E72" i="4" s="1"/>
  <c r="D72" i="4" s="1"/>
  <c r="L71" i="4"/>
  <c r="F71" i="4"/>
  <c r="E71" i="4" s="1"/>
  <c r="L70" i="4"/>
  <c r="F70" i="4"/>
  <c r="E70" i="4" s="1"/>
  <c r="D70" i="4" s="1"/>
  <c r="L69" i="4"/>
  <c r="F69" i="4"/>
  <c r="E69" i="4" s="1"/>
  <c r="L68" i="4"/>
  <c r="F68" i="4"/>
  <c r="E68" i="4" s="1"/>
  <c r="D68" i="4" s="1"/>
  <c r="L67" i="4"/>
  <c r="F67" i="4"/>
  <c r="E67" i="4" s="1"/>
  <c r="L66" i="4"/>
  <c r="F66" i="4"/>
  <c r="E66" i="4" s="1"/>
  <c r="D66" i="4" s="1"/>
  <c r="L65" i="4"/>
  <c r="L64" i="4" s="1"/>
  <c r="F65" i="4"/>
  <c r="E65" i="4" s="1"/>
  <c r="N64" i="4"/>
  <c r="M64" i="4"/>
  <c r="K64" i="4"/>
  <c r="J64" i="4"/>
  <c r="I64" i="4"/>
  <c r="H64" i="4"/>
  <c r="G64" i="4"/>
  <c r="F64" i="4"/>
  <c r="L63" i="4"/>
  <c r="L62" i="4" s="1"/>
  <c r="F63" i="4"/>
  <c r="N62" i="4"/>
  <c r="M62" i="4"/>
  <c r="K62" i="4"/>
  <c r="J62" i="4"/>
  <c r="I62" i="4"/>
  <c r="H62" i="4"/>
  <c r="G62" i="4"/>
  <c r="L61" i="4"/>
  <c r="F61" i="4"/>
  <c r="F57" i="4" s="1"/>
  <c r="E61" i="4"/>
  <c r="N57" i="4"/>
  <c r="M57" i="4"/>
  <c r="L57" i="4"/>
  <c r="K57" i="4"/>
  <c r="J57" i="4"/>
  <c r="I57" i="4"/>
  <c r="H57" i="4"/>
  <c r="G57" i="4"/>
  <c r="L56" i="4"/>
  <c r="F56" i="4"/>
  <c r="E56" i="4"/>
  <c r="D56" i="4"/>
  <c r="L55" i="4"/>
  <c r="F55" i="4"/>
  <c r="E55" i="4"/>
  <c r="D55" i="4"/>
  <c r="L54" i="4"/>
  <c r="F54" i="4"/>
  <c r="E54" i="4"/>
  <c r="E53" i="4" s="1"/>
  <c r="D54" i="4"/>
  <c r="D53" i="4" s="1"/>
  <c r="N53" i="4"/>
  <c r="M53" i="4"/>
  <c r="L53" i="4"/>
  <c r="K53" i="4"/>
  <c r="J53" i="4"/>
  <c r="I53" i="4"/>
  <c r="H53" i="4"/>
  <c r="G53" i="4"/>
  <c r="F53" i="4"/>
  <c r="L51" i="4"/>
  <c r="F51" i="4"/>
  <c r="E51" i="4" s="1"/>
  <c r="L50" i="4"/>
  <c r="F50" i="4"/>
  <c r="E50" i="4" s="1"/>
  <c r="L49" i="4"/>
  <c r="F49" i="4"/>
  <c r="E49" i="4" s="1"/>
  <c r="L48" i="4"/>
  <c r="F48" i="4"/>
  <c r="E48" i="4" s="1"/>
  <c r="L46" i="4"/>
  <c r="F46" i="4"/>
  <c r="E46" i="4" s="1"/>
  <c r="L45" i="4"/>
  <c r="L44" i="4" s="1"/>
  <c r="F45" i="4"/>
  <c r="E45" i="4" s="1"/>
  <c r="N44" i="4"/>
  <c r="M44" i="4"/>
  <c r="K44" i="4"/>
  <c r="J44" i="4"/>
  <c r="I44" i="4"/>
  <c r="H44" i="4"/>
  <c r="G44" i="4"/>
  <c r="F44" i="4"/>
  <c r="L43" i="4"/>
  <c r="F43" i="4"/>
  <c r="E43" i="4" s="1"/>
  <c r="D43" i="4" s="1"/>
  <c r="L42" i="4"/>
  <c r="F42" i="4"/>
  <c r="E42" i="4" s="1"/>
  <c r="D42" i="4" s="1"/>
  <c r="L40" i="4"/>
  <c r="F40" i="4"/>
  <c r="E40" i="4" s="1"/>
  <c r="D40" i="4" s="1"/>
  <c r="L39" i="4"/>
  <c r="L38" i="4" s="1"/>
  <c r="F39" i="4"/>
  <c r="N38" i="4"/>
  <c r="M38" i="4"/>
  <c r="K38" i="4"/>
  <c r="J38" i="4"/>
  <c r="I38" i="4"/>
  <c r="H38" i="4"/>
  <c r="G38" i="4"/>
  <c r="E38" i="4"/>
  <c r="L37" i="4"/>
  <c r="F37" i="4"/>
  <c r="E37" i="4"/>
  <c r="D37" i="4" s="1"/>
  <c r="L36" i="4"/>
  <c r="F36" i="4"/>
  <c r="E36" i="4"/>
  <c r="D36" i="4" s="1"/>
  <c r="L35" i="4"/>
  <c r="F35" i="4"/>
  <c r="E35" i="4"/>
  <c r="D35" i="4" s="1"/>
  <c r="L34" i="4"/>
  <c r="F34" i="4"/>
  <c r="F33" i="4" s="1"/>
  <c r="E34" i="4"/>
  <c r="N33" i="4"/>
  <c r="M33" i="4"/>
  <c r="L33" i="4"/>
  <c r="K33" i="4"/>
  <c r="J33" i="4"/>
  <c r="I33" i="4"/>
  <c r="H33" i="4"/>
  <c r="G33" i="4"/>
  <c r="L32" i="4"/>
  <c r="F32" i="4"/>
  <c r="E32" i="4"/>
  <c r="D32" i="4"/>
  <c r="L31" i="4"/>
  <c r="F31" i="4"/>
  <c r="E31" i="4"/>
  <c r="E30" i="4" s="1"/>
  <c r="D31" i="4"/>
  <c r="D30" i="4" s="1"/>
  <c r="N30" i="4"/>
  <c r="M30" i="4"/>
  <c r="L30" i="4"/>
  <c r="K30" i="4"/>
  <c r="J30" i="4"/>
  <c r="I30" i="4"/>
  <c r="H30" i="4"/>
  <c r="G30" i="4"/>
  <c r="F30" i="4"/>
  <c r="L29" i="4"/>
  <c r="F29" i="4"/>
  <c r="E29" i="4" s="1"/>
  <c r="L28" i="4"/>
  <c r="F28" i="4"/>
  <c r="E28" i="4" s="1"/>
  <c r="L27" i="4"/>
  <c r="D27" i="4" s="1"/>
  <c r="F27" i="4"/>
  <c r="E27" i="4"/>
  <c r="L26" i="4"/>
  <c r="D26" i="4" s="1"/>
  <c r="F26" i="4"/>
  <c r="E26" i="4"/>
  <c r="L25" i="4"/>
  <c r="D25" i="4" s="1"/>
  <c r="F25" i="4"/>
  <c r="E25" i="4"/>
  <c r="L24" i="4"/>
  <c r="D24" i="4" s="1"/>
  <c r="F24" i="4"/>
  <c r="E24" i="4"/>
  <c r="L23" i="4"/>
  <c r="F23" i="4"/>
  <c r="E23" i="4"/>
  <c r="N22" i="4"/>
  <c r="M22" i="4"/>
  <c r="K22" i="4"/>
  <c r="J22" i="4"/>
  <c r="I22" i="4"/>
  <c r="H22" i="4"/>
  <c r="G22" i="4"/>
  <c r="F22" i="4"/>
  <c r="L21" i="4"/>
  <c r="L20" i="4" s="1"/>
  <c r="F21" i="4"/>
  <c r="N20" i="4"/>
  <c r="M20" i="4"/>
  <c r="K20" i="4"/>
  <c r="J20" i="4"/>
  <c r="I20" i="4"/>
  <c r="H20" i="4"/>
  <c r="G20" i="4"/>
  <c r="L19" i="4"/>
  <c r="F19" i="4"/>
  <c r="F18" i="4" s="1"/>
  <c r="E19" i="4"/>
  <c r="N18" i="4"/>
  <c r="M18" i="4"/>
  <c r="L18" i="4"/>
  <c r="K18" i="4"/>
  <c r="J18" i="4"/>
  <c r="I18" i="4"/>
  <c r="H18" i="4"/>
  <c r="G18" i="4"/>
  <c r="E21" i="4" l="1"/>
  <c r="F20" i="4"/>
  <c r="E63" i="4"/>
  <c r="F62" i="4"/>
  <c r="E166" i="4"/>
  <c r="F165" i="4"/>
  <c r="K149" i="4"/>
  <c r="D19" i="4"/>
  <c r="D18" i="4" s="1"/>
  <c r="E18" i="4"/>
  <c r="D28" i="4"/>
  <c r="D46" i="4"/>
  <c r="D49" i="4"/>
  <c r="D51" i="4"/>
  <c r="D61" i="4"/>
  <c r="D57" i="4" s="1"/>
  <c r="E57" i="4"/>
  <c r="L112" i="4"/>
  <c r="D163" i="4"/>
  <c r="D162" i="4" s="1"/>
  <c r="E162" i="4"/>
  <c r="L22" i="4"/>
  <c r="L149" i="4" s="1"/>
  <c r="D23" i="4"/>
  <c r="D89" i="4"/>
  <c r="D88" i="4" s="1"/>
  <c r="E88" i="4"/>
  <c r="E112" i="4"/>
  <c r="D113" i="4"/>
  <c r="D112" i="4" s="1"/>
  <c r="H149" i="4"/>
  <c r="E22" i="4"/>
  <c r="E64" i="4"/>
  <c r="D65" i="4"/>
  <c r="D67" i="4"/>
  <c r="D69" i="4"/>
  <c r="D71" i="4"/>
  <c r="D73" i="4"/>
  <c r="D81" i="4"/>
  <c r="E138" i="4"/>
  <c r="F137" i="4"/>
  <c r="E155" i="4"/>
  <c r="F154" i="4"/>
  <c r="G149" i="4"/>
  <c r="D29" i="4"/>
  <c r="D34" i="4"/>
  <c r="D33" i="4" s="1"/>
  <c r="E33" i="4"/>
  <c r="E39" i="4"/>
  <c r="D39" i="4" s="1"/>
  <c r="D38" i="4" s="1"/>
  <c r="F38" i="4"/>
  <c r="F149" i="4" s="1"/>
  <c r="E44" i="4"/>
  <c r="D45" i="4"/>
  <c r="D48" i="4"/>
  <c r="D50" i="4"/>
  <c r="D128" i="4"/>
  <c r="D127" i="4" s="1"/>
  <c r="E127" i="4"/>
  <c r="N221" i="4"/>
  <c r="M149" i="4"/>
  <c r="G221" i="4"/>
  <c r="D220" i="4"/>
  <c r="D219" i="4" s="1"/>
  <c r="E219" i="4"/>
  <c r="D229" i="4"/>
  <c r="D227" i="4" s="1"/>
  <c r="E227" i="4"/>
  <c r="E231" i="4"/>
  <c r="F230" i="4"/>
  <c r="I149" i="4"/>
  <c r="D152" i="4"/>
  <c r="D151" i="4" s="1"/>
  <c r="E151" i="4"/>
  <c r="D258" i="4"/>
  <c r="D257" i="4" s="1"/>
  <c r="E257" i="4"/>
  <c r="E272" i="4"/>
  <c r="F271" i="4"/>
  <c r="J149" i="4"/>
  <c r="N149" i="4"/>
  <c r="D148" i="4"/>
  <c r="H221" i="4"/>
  <c r="L221" i="4"/>
  <c r="E156" i="4"/>
  <c r="D157" i="4"/>
  <c r="D156" i="4" s="1"/>
  <c r="D172" i="4"/>
  <c r="D176" i="4"/>
  <c r="D181" i="4"/>
  <c r="D185" i="4"/>
  <c r="D214" i="4"/>
  <c r="D213" i="4" s="1"/>
  <c r="F246" i="4"/>
  <c r="N246" i="4"/>
  <c r="E249" i="4"/>
  <c r="F248" i="4"/>
  <c r="K221" i="4"/>
  <c r="D201" i="4"/>
  <c r="D199" i="4" s="1"/>
  <c r="E199" i="4"/>
  <c r="E260" i="4"/>
  <c r="F259" i="4"/>
  <c r="D269" i="4"/>
  <c r="D267" i="4" s="1"/>
  <c r="E267" i="4"/>
  <c r="D117" i="4"/>
  <c r="L144" i="4"/>
  <c r="D147" i="4"/>
  <c r="D144" i="4" s="1"/>
  <c r="L168" i="4"/>
  <c r="D171" i="4"/>
  <c r="D168" i="4" s="1"/>
  <c r="D175" i="4"/>
  <c r="D179" i="4"/>
  <c r="D184" i="4"/>
  <c r="E205" i="4"/>
  <c r="F204" i="4"/>
  <c r="F221" i="4" s="1"/>
  <c r="D225" i="4"/>
  <c r="D224" i="4" s="1"/>
  <c r="D237" i="4"/>
  <c r="G273" i="4"/>
  <c r="K273" i="4"/>
  <c r="D233" i="4"/>
  <c r="D232" i="4" s="1"/>
  <c r="E241" i="4"/>
  <c r="D251" i="4"/>
  <c r="D250" i="4" s="1"/>
  <c r="E253" i="4"/>
  <c r="D264" i="4"/>
  <c r="D263" i="4" s="1"/>
  <c r="E266" i="4"/>
  <c r="L222" i="4" l="1"/>
  <c r="L274" i="4"/>
  <c r="F222" i="4"/>
  <c r="E252" i="4"/>
  <c r="D253" i="4"/>
  <c r="D252" i="4" s="1"/>
  <c r="N274" i="4"/>
  <c r="N222" i="4"/>
  <c r="G222" i="4"/>
  <c r="G274" i="4"/>
  <c r="D205" i="4"/>
  <c r="D204" i="4" s="1"/>
  <c r="E204" i="4"/>
  <c r="I222" i="4"/>
  <c r="I274" i="4"/>
  <c r="M222" i="4"/>
  <c r="M274" i="4"/>
  <c r="D44" i="4"/>
  <c r="K222" i="4"/>
  <c r="K274" i="4"/>
  <c r="D63" i="4"/>
  <c r="D62" i="4" s="1"/>
  <c r="E62" i="4"/>
  <c r="D138" i="4"/>
  <c r="D137" i="4" s="1"/>
  <c r="E137" i="4"/>
  <c r="D22" i="4"/>
  <c r="D260" i="4"/>
  <c r="D259" i="4" s="1"/>
  <c r="E259" i="4"/>
  <c r="J274" i="4"/>
  <c r="J222" i="4"/>
  <c r="E265" i="4"/>
  <c r="D266" i="4"/>
  <c r="D265" i="4" s="1"/>
  <c r="E238" i="4"/>
  <c r="D241" i="4"/>
  <c r="D238" i="4" s="1"/>
  <c r="D246" i="4" s="1"/>
  <c r="F273" i="4"/>
  <c r="F274" i="4" s="1"/>
  <c r="D155" i="4"/>
  <c r="D154" i="4" s="1"/>
  <c r="E154" i="4"/>
  <c r="D64" i="4"/>
  <c r="D249" i="4"/>
  <c r="D248" i="4" s="1"/>
  <c r="D273" i="4" s="1"/>
  <c r="E248" i="4"/>
  <c r="D272" i="4"/>
  <c r="D271" i="4" s="1"/>
  <c r="E271" i="4"/>
  <c r="D231" i="4"/>
  <c r="D230" i="4" s="1"/>
  <c r="E230" i="4"/>
  <c r="E246" i="4" s="1"/>
  <c r="H222" i="4"/>
  <c r="H274" i="4"/>
  <c r="D166" i="4"/>
  <c r="D165" i="4" s="1"/>
  <c r="D221" i="4" s="1"/>
  <c r="E165" i="4"/>
  <c r="E221" i="4" s="1"/>
  <c r="D21" i="4"/>
  <c r="D20" i="4" s="1"/>
  <c r="D149" i="4" s="1"/>
  <c r="E20" i="4"/>
  <c r="E149" i="4" s="1"/>
  <c r="E222" i="4" l="1"/>
  <c r="E274" i="4"/>
  <c r="D222" i="4"/>
  <c r="D274" i="4"/>
  <c r="E273" i="4"/>
  <c r="F851" i="3"/>
  <c r="C850" i="3"/>
  <c r="J847" i="3"/>
  <c r="I847" i="3"/>
  <c r="H847" i="3"/>
  <c r="G847" i="3"/>
  <c r="F847" i="3"/>
  <c r="E847" i="3"/>
  <c r="D847" i="3"/>
  <c r="C847" i="3"/>
  <c r="J846" i="3"/>
  <c r="I846" i="3"/>
  <c r="H846" i="3"/>
  <c r="G846" i="3"/>
  <c r="F846" i="3"/>
  <c r="E846" i="3"/>
  <c r="D846" i="3"/>
  <c r="C846" i="3"/>
  <c r="C845" i="3"/>
  <c r="J842" i="3"/>
  <c r="I842" i="3"/>
  <c r="H842" i="3"/>
  <c r="G842" i="3"/>
  <c r="F842" i="3"/>
  <c r="E842" i="3"/>
  <c r="D842" i="3"/>
  <c r="C842" i="3"/>
  <c r="J841" i="3"/>
  <c r="I841" i="3"/>
  <c r="H841" i="3"/>
  <c r="G841" i="3"/>
  <c r="F841" i="3"/>
  <c r="E841" i="3"/>
  <c r="D841" i="3"/>
  <c r="C841" i="3"/>
  <c r="C840" i="3"/>
  <c r="J837" i="3"/>
  <c r="I837" i="3"/>
  <c r="H837" i="3"/>
  <c r="G837" i="3"/>
  <c r="F837" i="3"/>
  <c r="E837" i="3"/>
  <c r="D837" i="3"/>
  <c r="C837" i="3"/>
  <c r="J836" i="3"/>
  <c r="I836" i="3"/>
  <c r="H836" i="3"/>
  <c r="G836" i="3"/>
  <c r="F836" i="3"/>
  <c r="E836" i="3"/>
  <c r="D836" i="3"/>
  <c r="C836" i="3"/>
  <c r="C835" i="3"/>
  <c r="J832" i="3"/>
  <c r="I832" i="3"/>
  <c r="H832" i="3"/>
  <c r="G832" i="3"/>
  <c r="F832" i="3"/>
  <c r="E832" i="3"/>
  <c r="D832" i="3"/>
  <c r="C832" i="3"/>
  <c r="J831" i="3"/>
  <c r="I831" i="3"/>
  <c r="H831" i="3"/>
  <c r="G831" i="3"/>
  <c r="F831" i="3"/>
  <c r="E831" i="3"/>
  <c r="D831" i="3"/>
  <c r="C831" i="3"/>
  <c r="C830" i="3"/>
  <c r="C827" i="3" s="1"/>
  <c r="C822" i="3" s="1"/>
  <c r="J827" i="3"/>
  <c r="I827" i="3"/>
  <c r="H827" i="3"/>
  <c r="G827" i="3"/>
  <c r="G822" i="3" s="1"/>
  <c r="F827" i="3"/>
  <c r="E827" i="3"/>
  <c r="D827" i="3"/>
  <c r="C826" i="3"/>
  <c r="J823" i="3"/>
  <c r="I823" i="3"/>
  <c r="H823" i="3"/>
  <c r="G823" i="3"/>
  <c r="F823" i="3"/>
  <c r="E823" i="3"/>
  <c r="D823" i="3"/>
  <c r="D822" i="3" s="1"/>
  <c r="C823" i="3"/>
  <c r="J822" i="3"/>
  <c r="I822" i="3"/>
  <c r="H822" i="3"/>
  <c r="F822" i="3"/>
  <c r="E822" i="3"/>
  <c r="C821" i="3"/>
  <c r="J818" i="3"/>
  <c r="I818" i="3"/>
  <c r="H818" i="3"/>
  <c r="G818" i="3"/>
  <c r="F818" i="3"/>
  <c r="E818" i="3"/>
  <c r="D818" i="3"/>
  <c r="C818" i="3"/>
  <c r="J817" i="3"/>
  <c r="I817" i="3"/>
  <c r="H817" i="3"/>
  <c r="G817" i="3"/>
  <c r="F817" i="3"/>
  <c r="E817" i="3"/>
  <c r="D817" i="3"/>
  <c r="C817" i="3"/>
  <c r="C816" i="3"/>
  <c r="J813" i="3"/>
  <c r="I813" i="3"/>
  <c r="H813" i="3"/>
  <c r="G813" i="3"/>
  <c r="F813" i="3"/>
  <c r="F800" i="3" s="1"/>
  <c r="E813" i="3"/>
  <c r="D813" i="3"/>
  <c r="C813" i="3"/>
  <c r="C812" i="3"/>
  <c r="J809" i="3"/>
  <c r="I809" i="3"/>
  <c r="H809" i="3"/>
  <c r="G809" i="3"/>
  <c r="G800" i="3" s="1"/>
  <c r="F809" i="3"/>
  <c r="E809" i="3"/>
  <c r="D809" i="3"/>
  <c r="C809" i="3"/>
  <c r="C800" i="3" s="1"/>
  <c r="C808" i="3"/>
  <c r="J805" i="3"/>
  <c r="I805" i="3"/>
  <c r="H805" i="3"/>
  <c r="G805" i="3"/>
  <c r="F805" i="3"/>
  <c r="E805" i="3"/>
  <c r="D805" i="3"/>
  <c r="C805" i="3"/>
  <c r="C804" i="3"/>
  <c r="J801" i="3"/>
  <c r="I801" i="3"/>
  <c r="H801" i="3"/>
  <c r="G801" i="3"/>
  <c r="F801" i="3"/>
  <c r="E801" i="3"/>
  <c r="E800" i="3" s="1"/>
  <c r="D801" i="3"/>
  <c r="C801" i="3"/>
  <c r="J800" i="3"/>
  <c r="I800" i="3"/>
  <c r="C799" i="3"/>
  <c r="J796" i="3"/>
  <c r="I796" i="3"/>
  <c r="H796" i="3"/>
  <c r="G796" i="3"/>
  <c r="F796" i="3"/>
  <c r="E796" i="3"/>
  <c r="D796" i="3"/>
  <c r="C796" i="3"/>
  <c r="J795" i="3"/>
  <c r="I795" i="3"/>
  <c r="H795" i="3"/>
  <c r="G795" i="3"/>
  <c r="F795" i="3"/>
  <c r="E795" i="3"/>
  <c r="D795" i="3"/>
  <c r="C795" i="3"/>
  <c r="C794" i="3"/>
  <c r="J791" i="3"/>
  <c r="I791" i="3"/>
  <c r="H791" i="3"/>
  <c r="G791" i="3"/>
  <c r="F791" i="3"/>
  <c r="E791" i="3"/>
  <c r="D791" i="3"/>
  <c r="C791" i="3"/>
  <c r="J790" i="3"/>
  <c r="I790" i="3"/>
  <c r="H790" i="3"/>
  <c r="G790" i="3"/>
  <c r="F790" i="3"/>
  <c r="E790" i="3"/>
  <c r="D790" i="3"/>
  <c r="C790" i="3"/>
  <c r="F787" i="3"/>
  <c r="C786" i="3"/>
  <c r="C783" i="3" s="1"/>
  <c r="D783" i="3"/>
  <c r="C782" i="3"/>
  <c r="J779" i="3"/>
  <c r="J772" i="3" s="1"/>
  <c r="I779" i="3"/>
  <c r="H779" i="3"/>
  <c r="G779" i="3"/>
  <c r="F779" i="3"/>
  <c r="F772" i="3" s="1"/>
  <c r="E779" i="3"/>
  <c r="D779" i="3"/>
  <c r="C779" i="3"/>
  <c r="C778" i="3"/>
  <c r="J775" i="3"/>
  <c r="I775" i="3"/>
  <c r="H775" i="3"/>
  <c r="G775" i="3"/>
  <c r="G772" i="3" s="1"/>
  <c r="F775" i="3"/>
  <c r="E775" i="3"/>
  <c r="D775" i="3"/>
  <c r="C775" i="3"/>
  <c r="I772" i="3"/>
  <c r="H772" i="3"/>
  <c r="E772" i="3"/>
  <c r="D772" i="3"/>
  <c r="C772" i="3"/>
  <c r="C771" i="3"/>
  <c r="J768" i="3"/>
  <c r="I768" i="3"/>
  <c r="H768" i="3"/>
  <c r="H755" i="3" s="1"/>
  <c r="G768" i="3"/>
  <c r="F768" i="3"/>
  <c r="E768" i="3"/>
  <c r="D768" i="3"/>
  <c r="D755" i="3" s="1"/>
  <c r="C768" i="3"/>
  <c r="C767" i="3"/>
  <c r="J764" i="3"/>
  <c r="I764" i="3"/>
  <c r="I755" i="3" s="1"/>
  <c r="H764" i="3"/>
  <c r="G764" i="3"/>
  <c r="F764" i="3"/>
  <c r="E764" i="3"/>
  <c r="E755" i="3" s="1"/>
  <c r="D764" i="3"/>
  <c r="C764" i="3"/>
  <c r="C763" i="3"/>
  <c r="J760" i="3"/>
  <c r="J755" i="3" s="1"/>
  <c r="I760" i="3"/>
  <c r="H760" i="3"/>
  <c r="G760" i="3"/>
  <c r="F760" i="3"/>
  <c r="F755" i="3" s="1"/>
  <c r="E760" i="3"/>
  <c r="D760" i="3"/>
  <c r="C760" i="3"/>
  <c r="C759" i="3"/>
  <c r="J756" i="3"/>
  <c r="I756" i="3"/>
  <c r="H756" i="3"/>
  <c r="G756" i="3"/>
  <c r="G755" i="3" s="1"/>
  <c r="F756" i="3"/>
  <c r="E756" i="3"/>
  <c r="D756" i="3"/>
  <c r="C756" i="3"/>
  <c r="C755" i="3" s="1"/>
  <c r="C754" i="3"/>
  <c r="J751" i="3"/>
  <c r="I751" i="3"/>
  <c r="H751" i="3"/>
  <c r="G751" i="3"/>
  <c r="F751" i="3"/>
  <c r="E751" i="3"/>
  <c r="D751" i="3"/>
  <c r="C751" i="3"/>
  <c r="J750" i="3"/>
  <c r="I750" i="3"/>
  <c r="H750" i="3"/>
  <c r="G750" i="3"/>
  <c r="F750" i="3"/>
  <c r="E750" i="3"/>
  <c r="D750" i="3"/>
  <c r="C750" i="3"/>
  <c r="C749" i="3"/>
  <c r="J745" i="3"/>
  <c r="I745" i="3"/>
  <c r="H745" i="3"/>
  <c r="G745" i="3"/>
  <c r="F745" i="3"/>
  <c r="E745" i="3"/>
  <c r="D745" i="3"/>
  <c r="C745" i="3"/>
  <c r="J743" i="3"/>
  <c r="I743" i="3"/>
  <c r="H743" i="3"/>
  <c r="G743" i="3"/>
  <c r="F743" i="3"/>
  <c r="E743" i="3"/>
  <c r="D743" i="3"/>
  <c r="C743" i="3"/>
  <c r="C741" i="3"/>
  <c r="J737" i="3"/>
  <c r="I737" i="3"/>
  <c r="H737" i="3"/>
  <c r="G737" i="3"/>
  <c r="F737" i="3"/>
  <c r="E737" i="3"/>
  <c r="D737" i="3"/>
  <c r="C737" i="3"/>
  <c r="J736" i="3"/>
  <c r="I736" i="3"/>
  <c r="H736" i="3"/>
  <c r="G736" i="3"/>
  <c r="F736" i="3"/>
  <c r="E736" i="3"/>
  <c r="D736" i="3"/>
  <c r="D787" i="3" s="1"/>
  <c r="C787" i="3" s="1"/>
  <c r="C736" i="3"/>
  <c r="C729" i="3"/>
  <c r="J728" i="3"/>
  <c r="I728" i="3"/>
  <c r="H728" i="3"/>
  <c r="G728" i="3"/>
  <c r="G727" i="3" s="1"/>
  <c r="F728" i="3"/>
  <c r="E728" i="3"/>
  <c r="D728" i="3"/>
  <c r="C728" i="3"/>
  <c r="J727" i="3"/>
  <c r="I727" i="3"/>
  <c r="H727" i="3"/>
  <c r="F727" i="3"/>
  <c r="E727" i="3"/>
  <c r="D727" i="3"/>
  <c r="C727" i="3"/>
  <c r="D726" i="3"/>
  <c r="C726" i="3"/>
  <c r="D725" i="3"/>
  <c r="C725" i="3"/>
  <c r="J723" i="3"/>
  <c r="I723" i="3"/>
  <c r="H723" i="3"/>
  <c r="G723" i="3"/>
  <c r="G707" i="3" s="1"/>
  <c r="F723" i="3"/>
  <c r="E723" i="3"/>
  <c r="D723" i="3"/>
  <c r="C723" i="3"/>
  <c r="C722" i="3"/>
  <c r="D720" i="3"/>
  <c r="C720" i="3"/>
  <c r="D719" i="3"/>
  <c r="C719" i="3" s="1"/>
  <c r="D718" i="3"/>
  <c r="C718" i="3"/>
  <c r="C717" i="3"/>
  <c r="C716" i="3"/>
  <c r="J714" i="3"/>
  <c r="I714" i="3"/>
  <c r="H714" i="3"/>
  <c r="G714" i="3"/>
  <c r="F714" i="3"/>
  <c r="E714" i="3"/>
  <c r="C713" i="3"/>
  <c r="C711" i="3"/>
  <c r="C710" i="3"/>
  <c r="C708" i="3" s="1"/>
  <c r="C709" i="3"/>
  <c r="J708" i="3"/>
  <c r="I708" i="3"/>
  <c r="H708" i="3"/>
  <c r="H707" i="3" s="1"/>
  <c r="G708" i="3"/>
  <c r="F708" i="3"/>
  <c r="E708" i="3"/>
  <c r="D708" i="3"/>
  <c r="J707" i="3"/>
  <c r="I707" i="3"/>
  <c r="F707" i="3"/>
  <c r="E707" i="3"/>
  <c r="C706" i="3"/>
  <c r="C705" i="3"/>
  <c r="C704" i="3"/>
  <c r="C703" i="3"/>
  <c r="C702" i="3"/>
  <c r="C698" i="3"/>
  <c r="C697" i="3"/>
  <c r="C692" i="3" s="1"/>
  <c r="C695" i="3"/>
  <c r="J692" i="3"/>
  <c r="I692" i="3"/>
  <c r="H692" i="3"/>
  <c r="G692" i="3"/>
  <c r="F692" i="3"/>
  <c r="E692" i="3"/>
  <c r="D692" i="3"/>
  <c r="C691" i="3"/>
  <c r="J690" i="3"/>
  <c r="I690" i="3"/>
  <c r="I672" i="3" s="1"/>
  <c r="H690" i="3"/>
  <c r="G690" i="3"/>
  <c r="F690" i="3"/>
  <c r="E690" i="3"/>
  <c r="E672" i="3" s="1"/>
  <c r="D690" i="3"/>
  <c r="C690" i="3"/>
  <c r="C689" i="3"/>
  <c r="F684" i="3"/>
  <c r="C684" i="3" s="1"/>
  <c r="C677" i="3" s="1"/>
  <c r="C679" i="3"/>
  <c r="C678" i="3"/>
  <c r="J677" i="3"/>
  <c r="J672" i="3" s="1"/>
  <c r="I677" i="3"/>
  <c r="H677" i="3"/>
  <c r="G677" i="3"/>
  <c r="G672" i="3" s="1"/>
  <c r="E677" i="3"/>
  <c r="D677" i="3"/>
  <c r="C676" i="3"/>
  <c r="C674" i="3" s="1"/>
  <c r="C672" i="3" s="1"/>
  <c r="C675" i="3"/>
  <c r="J674" i="3"/>
  <c r="I674" i="3"/>
  <c r="H674" i="3"/>
  <c r="H672" i="3" s="1"/>
  <c r="G674" i="3"/>
  <c r="F674" i="3"/>
  <c r="E674" i="3"/>
  <c r="D674" i="3"/>
  <c r="D672" i="3" s="1"/>
  <c r="C671" i="3"/>
  <c r="J668" i="3"/>
  <c r="I668" i="3"/>
  <c r="I662" i="3" s="1"/>
  <c r="H668" i="3"/>
  <c r="G668" i="3"/>
  <c r="F668" i="3"/>
  <c r="E668" i="3"/>
  <c r="E662" i="3" s="1"/>
  <c r="D668" i="3"/>
  <c r="C668" i="3"/>
  <c r="C667" i="3"/>
  <c r="J664" i="3"/>
  <c r="I664" i="3"/>
  <c r="H664" i="3"/>
  <c r="G664" i="3"/>
  <c r="F664" i="3"/>
  <c r="E664" i="3"/>
  <c r="D664" i="3"/>
  <c r="C664" i="3"/>
  <c r="J662" i="3"/>
  <c r="H662" i="3"/>
  <c r="G662" i="3"/>
  <c r="F662" i="3"/>
  <c r="D662" i="3"/>
  <c r="C662" i="3"/>
  <c r="D661" i="3"/>
  <c r="D656" i="3"/>
  <c r="C656" i="3"/>
  <c r="J651" i="3"/>
  <c r="I651" i="3"/>
  <c r="H651" i="3"/>
  <c r="G651" i="3"/>
  <c r="F651" i="3"/>
  <c r="E651" i="3"/>
  <c r="J650" i="3"/>
  <c r="I650" i="3"/>
  <c r="H650" i="3"/>
  <c r="G650" i="3"/>
  <c r="F650" i="3"/>
  <c r="E650" i="3"/>
  <c r="C649" i="3"/>
  <c r="C646" i="3"/>
  <c r="E643" i="3"/>
  <c r="D643" i="3"/>
  <c r="C643" i="3"/>
  <c r="E639" i="3"/>
  <c r="D639" i="3" s="1"/>
  <c r="C634" i="3"/>
  <c r="J633" i="3"/>
  <c r="I633" i="3"/>
  <c r="H633" i="3"/>
  <c r="G633" i="3"/>
  <c r="G601" i="3" s="1"/>
  <c r="F633" i="3"/>
  <c r="E633" i="3"/>
  <c r="C632" i="3"/>
  <c r="J631" i="3"/>
  <c r="I631" i="3"/>
  <c r="H631" i="3"/>
  <c r="G631" i="3"/>
  <c r="F631" i="3"/>
  <c r="E631" i="3"/>
  <c r="D631" i="3"/>
  <c r="C631" i="3"/>
  <c r="C630" i="3"/>
  <c r="J627" i="3"/>
  <c r="I627" i="3"/>
  <c r="H627" i="3"/>
  <c r="G627" i="3"/>
  <c r="F627" i="3"/>
  <c r="E627" i="3"/>
  <c r="D627" i="3"/>
  <c r="C627" i="3"/>
  <c r="C626" i="3"/>
  <c r="C625" i="3"/>
  <c r="C624" i="3"/>
  <c r="F623" i="3"/>
  <c r="C623" i="3"/>
  <c r="C622" i="3"/>
  <c r="J621" i="3"/>
  <c r="I621" i="3"/>
  <c r="H621" i="3"/>
  <c r="G621" i="3"/>
  <c r="F621" i="3"/>
  <c r="E621" i="3"/>
  <c r="D621" i="3"/>
  <c r="C621" i="3"/>
  <c r="C619" i="3"/>
  <c r="J618" i="3"/>
  <c r="I618" i="3"/>
  <c r="H618" i="3"/>
  <c r="G618" i="3"/>
  <c r="F618" i="3"/>
  <c r="E618" i="3"/>
  <c r="D618" i="3"/>
  <c r="C618" i="3"/>
  <c r="C617" i="3"/>
  <c r="C616" i="3"/>
  <c r="J615" i="3"/>
  <c r="J601" i="3" s="1"/>
  <c r="I615" i="3"/>
  <c r="H615" i="3"/>
  <c r="G615" i="3"/>
  <c r="F615" i="3"/>
  <c r="F601" i="3" s="1"/>
  <c r="E615" i="3"/>
  <c r="D615" i="3"/>
  <c r="C615" i="3"/>
  <c r="C614" i="3"/>
  <c r="C612" i="3" s="1"/>
  <c r="C613" i="3"/>
  <c r="J612" i="3"/>
  <c r="I612" i="3"/>
  <c r="H612" i="3"/>
  <c r="G612" i="3"/>
  <c r="F612" i="3"/>
  <c r="E612" i="3"/>
  <c r="D612" i="3"/>
  <c r="C611" i="3"/>
  <c r="C610" i="3"/>
  <c r="C609" i="3"/>
  <c r="C604" i="3" s="1"/>
  <c r="C608" i="3"/>
  <c r="J604" i="3"/>
  <c r="I604" i="3"/>
  <c r="H604" i="3"/>
  <c r="G604" i="3"/>
  <c r="F604" i="3"/>
  <c r="E604" i="3"/>
  <c r="D604" i="3"/>
  <c r="C603" i="3"/>
  <c r="J602" i="3"/>
  <c r="I602" i="3"/>
  <c r="H602" i="3"/>
  <c r="G602" i="3"/>
  <c r="F602" i="3"/>
  <c r="E602" i="3"/>
  <c r="D602" i="3"/>
  <c r="C602" i="3"/>
  <c r="I601" i="3"/>
  <c r="E601" i="3"/>
  <c r="C600" i="3"/>
  <c r="J597" i="3"/>
  <c r="I597" i="3"/>
  <c r="H597" i="3"/>
  <c r="G597" i="3"/>
  <c r="F597" i="3"/>
  <c r="E597" i="3"/>
  <c r="D597" i="3"/>
  <c r="C597" i="3"/>
  <c r="J596" i="3"/>
  <c r="I596" i="3"/>
  <c r="H596" i="3"/>
  <c r="G596" i="3"/>
  <c r="F596" i="3"/>
  <c r="E596" i="3"/>
  <c r="D596" i="3"/>
  <c r="C596" i="3"/>
  <c r="C594" i="3"/>
  <c r="J591" i="3"/>
  <c r="I591" i="3"/>
  <c r="H591" i="3"/>
  <c r="G591" i="3"/>
  <c r="F591" i="3"/>
  <c r="E591" i="3"/>
  <c r="D591" i="3"/>
  <c r="C591" i="3"/>
  <c r="J590" i="3"/>
  <c r="I590" i="3"/>
  <c r="H590" i="3"/>
  <c r="G590" i="3"/>
  <c r="F590" i="3"/>
  <c r="E590" i="3"/>
  <c r="D590" i="3"/>
  <c r="C590" i="3"/>
  <c r="F589" i="3"/>
  <c r="C589" i="3" s="1"/>
  <c r="F584" i="3"/>
  <c r="F579" i="3" s="1"/>
  <c r="C584" i="3"/>
  <c r="C579" i="3" s="1"/>
  <c r="C573" i="3" s="1"/>
  <c r="J579" i="3"/>
  <c r="I579" i="3"/>
  <c r="H579" i="3"/>
  <c r="H573" i="3" s="1"/>
  <c r="G579" i="3"/>
  <c r="G573" i="3" s="1"/>
  <c r="E579" i="3"/>
  <c r="D579" i="3"/>
  <c r="D573" i="3" s="1"/>
  <c r="C578" i="3"/>
  <c r="C577" i="3"/>
  <c r="C576" i="3"/>
  <c r="J574" i="3"/>
  <c r="I574" i="3"/>
  <c r="H574" i="3"/>
  <c r="G574" i="3"/>
  <c r="F574" i="3"/>
  <c r="F573" i="3" s="1"/>
  <c r="E574" i="3"/>
  <c r="D574" i="3"/>
  <c r="C574" i="3"/>
  <c r="J573" i="3"/>
  <c r="I573" i="3"/>
  <c r="E573" i="3"/>
  <c r="D572" i="3"/>
  <c r="D571" i="3"/>
  <c r="C571" i="3"/>
  <c r="J570" i="3"/>
  <c r="J569" i="3" s="1"/>
  <c r="I570" i="3"/>
  <c r="H570" i="3"/>
  <c r="G570" i="3"/>
  <c r="F570" i="3"/>
  <c r="F569" i="3" s="1"/>
  <c r="E570" i="3"/>
  <c r="I569" i="3"/>
  <c r="H569" i="3"/>
  <c r="G569" i="3"/>
  <c r="E569" i="3"/>
  <c r="C568" i="3"/>
  <c r="C567" i="3" s="1"/>
  <c r="J567" i="3"/>
  <c r="I567" i="3"/>
  <c r="H567" i="3"/>
  <c r="H544" i="3" s="1"/>
  <c r="G567" i="3"/>
  <c r="G544" i="3" s="1"/>
  <c r="F567" i="3"/>
  <c r="E567" i="3"/>
  <c r="D567" i="3"/>
  <c r="F566" i="3"/>
  <c r="C566" i="3" s="1"/>
  <c r="F564" i="3"/>
  <c r="C564" i="3"/>
  <c r="F560" i="3"/>
  <c r="C560" i="3" s="1"/>
  <c r="J559" i="3"/>
  <c r="F559" i="3"/>
  <c r="C559" i="3" s="1"/>
  <c r="C558" i="3"/>
  <c r="C557" i="3"/>
  <c r="D556" i="3"/>
  <c r="C556" i="3" s="1"/>
  <c r="D555" i="3"/>
  <c r="C555" i="3"/>
  <c r="D554" i="3"/>
  <c r="C553" i="3"/>
  <c r="C552" i="3"/>
  <c r="C550" i="3"/>
  <c r="C549" i="3"/>
  <c r="C547" i="3"/>
  <c r="C546" i="3"/>
  <c r="J545" i="3"/>
  <c r="I545" i="3"/>
  <c r="H545" i="3"/>
  <c r="G545" i="3"/>
  <c r="E545" i="3"/>
  <c r="J544" i="3"/>
  <c r="I544" i="3"/>
  <c r="E544" i="3"/>
  <c r="E732" i="3" s="1"/>
  <c r="C543" i="3"/>
  <c r="J542" i="3"/>
  <c r="I542" i="3"/>
  <c r="H542" i="3"/>
  <c r="G542" i="3"/>
  <c r="F542" i="3"/>
  <c r="E542" i="3"/>
  <c r="D542" i="3"/>
  <c r="C542" i="3"/>
  <c r="J541" i="3"/>
  <c r="I541" i="3"/>
  <c r="H541" i="3"/>
  <c r="G541" i="3"/>
  <c r="F541" i="3"/>
  <c r="E541" i="3"/>
  <c r="D541" i="3"/>
  <c r="C541" i="3"/>
  <c r="C535" i="3"/>
  <c r="C534" i="3"/>
  <c r="C533" i="3"/>
  <c r="F532" i="3"/>
  <c r="C532" i="3" s="1"/>
  <c r="C526" i="3" s="1"/>
  <c r="C531" i="3"/>
  <c r="C530" i="3"/>
  <c r="J526" i="3"/>
  <c r="J520" i="3" s="1"/>
  <c r="I526" i="3"/>
  <c r="H526" i="3"/>
  <c r="G526" i="3"/>
  <c r="G520" i="3" s="1"/>
  <c r="F526" i="3"/>
  <c r="E526" i="3"/>
  <c r="D526" i="3"/>
  <c r="F525" i="3"/>
  <c r="J521" i="3"/>
  <c r="I521" i="3"/>
  <c r="H521" i="3"/>
  <c r="H520" i="3" s="1"/>
  <c r="G521" i="3"/>
  <c r="E521" i="3"/>
  <c r="D521" i="3"/>
  <c r="I520" i="3"/>
  <c r="E520" i="3"/>
  <c r="D520" i="3"/>
  <c r="J519" i="3"/>
  <c r="F519" i="3"/>
  <c r="C519" i="3"/>
  <c r="J514" i="3"/>
  <c r="F514" i="3" s="1"/>
  <c r="C509" i="3"/>
  <c r="C504" i="3"/>
  <c r="C499" i="3"/>
  <c r="C498" i="3"/>
  <c r="C497" i="3"/>
  <c r="F496" i="3"/>
  <c r="C496" i="3" s="1"/>
  <c r="C495" i="3"/>
  <c r="C494" i="3"/>
  <c r="J489" i="3"/>
  <c r="I489" i="3"/>
  <c r="H489" i="3"/>
  <c r="G489" i="3"/>
  <c r="E489" i="3"/>
  <c r="D489" i="3"/>
  <c r="D488" i="3"/>
  <c r="C488" i="3" s="1"/>
  <c r="C485" i="3" s="1"/>
  <c r="C487" i="3"/>
  <c r="J485" i="3"/>
  <c r="I485" i="3"/>
  <c r="H485" i="3"/>
  <c r="G485" i="3"/>
  <c r="F485" i="3"/>
  <c r="E485" i="3"/>
  <c r="D485" i="3"/>
  <c r="C483" i="3"/>
  <c r="C481" i="3" s="1"/>
  <c r="C482" i="3"/>
  <c r="J481" i="3"/>
  <c r="I481" i="3"/>
  <c r="H481" i="3"/>
  <c r="G481" i="3"/>
  <c r="F481" i="3"/>
  <c r="E481" i="3"/>
  <c r="D481" i="3"/>
  <c r="C480" i="3"/>
  <c r="C478" i="3"/>
  <c r="C477" i="3"/>
  <c r="J476" i="3"/>
  <c r="I476" i="3"/>
  <c r="H476" i="3"/>
  <c r="G476" i="3"/>
  <c r="G466" i="3" s="1"/>
  <c r="F476" i="3"/>
  <c r="E476" i="3"/>
  <c r="D476" i="3"/>
  <c r="C476" i="3"/>
  <c r="F475" i="3"/>
  <c r="C475" i="3" s="1"/>
  <c r="C471" i="3" s="1"/>
  <c r="J471" i="3"/>
  <c r="I471" i="3"/>
  <c r="H471" i="3"/>
  <c r="G471" i="3"/>
  <c r="F471" i="3"/>
  <c r="E471" i="3"/>
  <c r="D471" i="3"/>
  <c r="C470" i="3"/>
  <c r="J467" i="3"/>
  <c r="I467" i="3"/>
  <c r="H467" i="3"/>
  <c r="G467" i="3"/>
  <c r="F467" i="3"/>
  <c r="E467" i="3"/>
  <c r="D467" i="3"/>
  <c r="C467" i="3"/>
  <c r="J466" i="3"/>
  <c r="D465" i="3"/>
  <c r="C465" i="3" s="1"/>
  <c r="D460" i="3"/>
  <c r="C460" i="3"/>
  <c r="C455" i="3"/>
  <c r="C453" i="3" s="1"/>
  <c r="C454" i="3"/>
  <c r="J453" i="3"/>
  <c r="I453" i="3"/>
  <c r="H453" i="3"/>
  <c r="G453" i="3"/>
  <c r="F453" i="3"/>
  <c r="E453" i="3"/>
  <c r="D453" i="3"/>
  <c r="C452" i="3"/>
  <c r="C449" i="3"/>
  <c r="C448" i="3"/>
  <c r="C442" i="3" s="1"/>
  <c r="C447" i="3"/>
  <c r="C446" i="3"/>
  <c r="J442" i="3"/>
  <c r="I442" i="3"/>
  <c r="H442" i="3"/>
  <c r="G442" i="3"/>
  <c r="F442" i="3"/>
  <c r="E442" i="3"/>
  <c r="D442" i="3"/>
  <c r="C441" i="3"/>
  <c r="C438" i="3"/>
  <c r="C436" i="3" s="1"/>
  <c r="C437" i="3"/>
  <c r="J436" i="3"/>
  <c r="I436" i="3"/>
  <c r="H436" i="3"/>
  <c r="G436" i="3"/>
  <c r="F436" i="3"/>
  <c r="E436" i="3"/>
  <c r="D436" i="3"/>
  <c r="C435" i="3"/>
  <c r="C432" i="3"/>
  <c r="C431" i="3"/>
  <c r="C428" i="3" s="1"/>
  <c r="C430" i="3"/>
  <c r="J428" i="3"/>
  <c r="I428" i="3"/>
  <c r="I422" i="3" s="1"/>
  <c r="H428" i="3"/>
  <c r="G428" i="3"/>
  <c r="F428" i="3"/>
  <c r="E428" i="3"/>
  <c r="E422" i="3" s="1"/>
  <c r="D428" i="3"/>
  <c r="C425" i="3"/>
  <c r="C424" i="3"/>
  <c r="J423" i="3"/>
  <c r="I423" i="3"/>
  <c r="H423" i="3"/>
  <c r="G423" i="3"/>
  <c r="F423" i="3"/>
  <c r="E423" i="3"/>
  <c r="D423" i="3"/>
  <c r="C423" i="3"/>
  <c r="J422" i="3"/>
  <c r="G422" i="3"/>
  <c r="F422" i="3"/>
  <c r="D421" i="3"/>
  <c r="D416" i="3"/>
  <c r="C416" i="3"/>
  <c r="C411" i="3"/>
  <c r="D410" i="3"/>
  <c r="C410" i="3"/>
  <c r="C409" i="3"/>
  <c r="C408" i="3"/>
  <c r="J404" i="3"/>
  <c r="I404" i="3"/>
  <c r="H404" i="3"/>
  <c r="G404" i="3"/>
  <c r="G403" i="3" s="1"/>
  <c r="F404" i="3"/>
  <c r="E404" i="3"/>
  <c r="J403" i="3"/>
  <c r="I403" i="3"/>
  <c r="H403" i="3"/>
  <c r="F403" i="3"/>
  <c r="E403" i="3"/>
  <c r="D402" i="3"/>
  <c r="C402" i="3"/>
  <c r="D397" i="3"/>
  <c r="D390" i="3" s="1"/>
  <c r="C397" i="3"/>
  <c r="C390" i="3" s="1"/>
  <c r="C392" i="3"/>
  <c r="D391" i="3"/>
  <c r="C391" i="3"/>
  <c r="J390" i="3"/>
  <c r="I390" i="3"/>
  <c r="H390" i="3"/>
  <c r="G390" i="3"/>
  <c r="F390" i="3"/>
  <c r="E390" i="3"/>
  <c r="C389" i="3"/>
  <c r="C385" i="3" s="1"/>
  <c r="C386" i="3"/>
  <c r="J385" i="3"/>
  <c r="I385" i="3"/>
  <c r="H385" i="3"/>
  <c r="G385" i="3"/>
  <c r="F385" i="3"/>
  <c r="E385" i="3"/>
  <c r="D385" i="3"/>
  <c r="C384" i="3"/>
  <c r="C381" i="3"/>
  <c r="J380" i="3"/>
  <c r="I380" i="3"/>
  <c r="H380" i="3"/>
  <c r="G380" i="3"/>
  <c r="F380" i="3"/>
  <c r="E380" i="3"/>
  <c r="D380" i="3"/>
  <c r="C380" i="3"/>
  <c r="C379" i="3"/>
  <c r="J376" i="3"/>
  <c r="I376" i="3"/>
  <c r="H376" i="3"/>
  <c r="G376" i="3"/>
  <c r="F376" i="3"/>
  <c r="E376" i="3"/>
  <c r="D376" i="3"/>
  <c r="C376" i="3"/>
  <c r="C374" i="3"/>
  <c r="C371" i="3"/>
  <c r="C370" i="3"/>
  <c r="C369" i="3"/>
  <c r="C361" i="3" s="1"/>
  <c r="C368" i="3"/>
  <c r="C364" i="3"/>
  <c r="C362" i="3"/>
  <c r="J361" i="3"/>
  <c r="I361" i="3"/>
  <c r="H361" i="3"/>
  <c r="G361" i="3"/>
  <c r="F361" i="3"/>
  <c r="E361" i="3"/>
  <c r="D361" i="3"/>
  <c r="C360" i="3"/>
  <c r="C356" i="3" s="1"/>
  <c r="C357" i="3"/>
  <c r="J356" i="3"/>
  <c r="I356" i="3"/>
  <c r="H356" i="3"/>
  <c r="G356" i="3"/>
  <c r="F356" i="3"/>
  <c r="E356" i="3"/>
  <c r="D356" i="3"/>
  <c r="C355" i="3"/>
  <c r="C354" i="3"/>
  <c r="J353" i="3"/>
  <c r="I353" i="3"/>
  <c r="H353" i="3"/>
  <c r="G353" i="3"/>
  <c r="F353" i="3"/>
  <c r="E353" i="3"/>
  <c r="D353" i="3"/>
  <c r="C353" i="3"/>
  <c r="C352" i="3"/>
  <c r="C348" i="3" s="1"/>
  <c r="C349" i="3"/>
  <c r="J348" i="3"/>
  <c r="I348" i="3"/>
  <c r="I321" i="3" s="1"/>
  <c r="H348" i="3"/>
  <c r="G348" i="3"/>
  <c r="F348" i="3"/>
  <c r="E348" i="3"/>
  <c r="E321" i="3" s="1"/>
  <c r="D348" i="3"/>
  <c r="C346" i="3"/>
  <c r="C343" i="3"/>
  <c r="J342" i="3"/>
  <c r="I342" i="3"/>
  <c r="H342" i="3"/>
  <c r="G342" i="3"/>
  <c r="F342" i="3"/>
  <c r="E342" i="3"/>
  <c r="D342" i="3"/>
  <c r="C342" i="3"/>
  <c r="C338" i="3"/>
  <c r="J335" i="3"/>
  <c r="I335" i="3"/>
  <c r="H335" i="3"/>
  <c r="G335" i="3"/>
  <c r="F335" i="3"/>
  <c r="E335" i="3"/>
  <c r="D335" i="3"/>
  <c r="C335" i="3"/>
  <c r="C334" i="3"/>
  <c r="C332" i="3"/>
  <c r="D331" i="3"/>
  <c r="C331" i="3"/>
  <c r="J330" i="3"/>
  <c r="I330" i="3"/>
  <c r="H330" i="3"/>
  <c r="G330" i="3"/>
  <c r="G321" i="3" s="1"/>
  <c r="F330" i="3"/>
  <c r="E330" i="3"/>
  <c r="D330" i="3"/>
  <c r="C330" i="3"/>
  <c r="C329" i="3"/>
  <c r="C327" i="3"/>
  <c r="D325" i="3"/>
  <c r="D322" i="3" s="1"/>
  <c r="C325" i="3"/>
  <c r="C322" i="3" s="1"/>
  <c r="C321" i="3" s="1"/>
  <c r="C324" i="3"/>
  <c r="D323" i="3"/>
  <c r="C323" i="3"/>
  <c r="J322" i="3"/>
  <c r="J321" i="3" s="1"/>
  <c r="I322" i="3"/>
  <c r="H322" i="3"/>
  <c r="G322" i="3"/>
  <c r="F322" i="3"/>
  <c r="F321" i="3" s="1"/>
  <c r="E322" i="3"/>
  <c r="C320" i="3"/>
  <c r="C318" i="3" s="1"/>
  <c r="C317" i="3" s="1"/>
  <c r="C319" i="3"/>
  <c r="J318" i="3"/>
  <c r="I318" i="3"/>
  <c r="H318" i="3"/>
  <c r="H317" i="3" s="1"/>
  <c r="G318" i="3"/>
  <c r="F318" i="3"/>
  <c r="E318" i="3"/>
  <c r="D318" i="3"/>
  <c r="D317" i="3" s="1"/>
  <c r="J317" i="3"/>
  <c r="I317" i="3"/>
  <c r="G317" i="3"/>
  <c r="F317" i="3"/>
  <c r="E317" i="3"/>
  <c r="E316" i="3"/>
  <c r="D316" i="3"/>
  <c r="C316" i="3"/>
  <c r="E311" i="3"/>
  <c r="D311" i="3" s="1"/>
  <c r="J306" i="3"/>
  <c r="I306" i="3"/>
  <c r="H306" i="3"/>
  <c r="G306" i="3"/>
  <c r="F306" i="3"/>
  <c r="E306" i="3"/>
  <c r="D305" i="3"/>
  <c r="C304" i="3"/>
  <c r="C303" i="3"/>
  <c r="J302" i="3"/>
  <c r="I302" i="3"/>
  <c r="H302" i="3"/>
  <c r="G302" i="3"/>
  <c r="F302" i="3"/>
  <c r="E302" i="3"/>
  <c r="C301" i="3"/>
  <c r="C300" i="3"/>
  <c r="C299" i="3"/>
  <c r="C298" i="3"/>
  <c r="C297" i="3"/>
  <c r="J293" i="3"/>
  <c r="I293" i="3"/>
  <c r="H293" i="3"/>
  <c r="G293" i="3"/>
  <c r="F293" i="3"/>
  <c r="E293" i="3"/>
  <c r="D293" i="3"/>
  <c r="C293" i="3"/>
  <c r="I292" i="3"/>
  <c r="H292" i="3"/>
  <c r="G292" i="3"/>
  <c r="E292" i="3"/>
  <c r="C291" i="3"/>
  <c r="J290" i="3"/>
  <c r="I290" i="3"/>
  <c r="H290" i="3"/>
  <c r="H287" i="3" s="1"/>
  <c r="G290" i="3"/>
  <c r="F290" i="3"/>
  <c r="E290" i="3"/>
  <c r="D290" i="3"/>
  <c r="D287" i="3" s="1"/>
  <c r="C290" i="3"/>
  <c r="C289" i="3"/>
  <c r="J288" i="3"/>
  <c r="I288" i="3"/>
  <c r="H288" i="3"/>
  <c r="G288" i="3"/>
  <c r="F288" i="3"/>
  <c r="E288" i="3"/>
  <c r="E287" i="3" s="1"/>
  <c r="D288" i="3"/>
  <c r="C288" i="3"/>
  <c r="J287" i="3"/>
  <c r="I287" i="3"/>
  <c r="G287" i="3"/>
  <c r="F287" i="3"/>
  <c r="C287" i="3"/>
  <c r="C286" i="3"/>
  <c r="C285" i="3"/>
  <c r="J284" i="3"/>
  <c r="I284" i="3"/>
  <c r="H284" i="3"/>
  <c r="G284" i="3"/>
  <c r="F284" i="3"/>
  <c r="E284" i="3"/>
  <c r="D284" i="3"/>
  <c r="C284" i="3"/>
  <c r="C283" i="3"/>
  <c r="D282" i="3"/>
  <c r="C282" i="3"/>
  <c r="C281" i="3"/>
  <c r="C280" i="3"/>
  <c r="C278" i="3"/>
  <c r="C277" i="3"/>
  <c r="C275" i="3"/>
  <c r="C273" i="3"/>
  <c r="C271" i="3"/>
  <c r="C270" i="3"/>
  <c r="D269" i="3"/>
  <c r="C268" i="3"/>
  <c r="J266" i="3"/>
  <c r="I266" i="3"/>
  <c r="I240" i="3" s="1"/>
  <c r="H266" i="3"/>
  <c r="G266" i="3"/>
  <c r="F266" i="3"/>
  <c r="E266" i="3"/>
  <c r="E240" i="3" s="1"/>
  <c r="D263" i="3"/>
  <c r="D256" i="3" s="1"/>
  <c r="C263" i="3"/>
  <c r="C262" i="3"/>
  <c r="C261" i="3"/>
  <c r="C260" i="3"/>
  <c r="C259" i="3"/>
  <c r="C256" i="3" s="1"/>
  <c r="C258" i="3"/>
  <c r="D257" i="3"/>
  <c r="C257" i="3"/>
  <c r="J256" i="3"/>
  <c r="J240" i="3" s="1"/>
  <c r="I256" i="3"/>
  <c r="H256" i="3"/>
  <c r="G256" i="3"/>
  <c r="F256" i="3"/>
  <c r="F240" i="3" s="1"/>
  <c r="E256" i="3"/>
  <c r="C252" i="3"/>
  <c r="D251" i="3"/>
  <c r="C251" i="3"/>
  <c r="D250" i="3"/>
  <c r="C250" i="3"/>
  <c r="C249" i="3"/>
  <c r="C248" i="3"/>
  <c r="D247" i="3"/>
  <c r="C247" i="3"/>
  <c r="J246" i="3"/>
  <c r="I246" i="3"/>
  <c r="H246" i="3"/>
  <c r="G246" i="3"/>
  <c r="F246" i="3"/>
  <c r="E246" i="3"/>
  <c r="D246" i="3"/>
  <c r="C246" i="3"/>
  <c r="C243" i="3"/>
  <c r="J241" i="3"/>
  <c r="I241" i="3"/>
  <c r="H241" i="3"/>
  <c r="G241" i="3"/>
  <c r="F241" i="3"/>
  <c r="E241" i="3"/>
  <c r="D241" i="3"/>
  <c r="C241" i="3"/>
  <c r="H240" i="3"/>
  <c r="C237" i="3"/>
  <c r="J235" i="3"/>
  <c r="I235" i="3"/>
  <c r="H235" i="3"/>
  <c r="G235" i="3"/>
  <c r="F235" i="3"/>
  <c r="E235" i="3"/>
  <c r="D235" i="3"/>
  <c r="C235" i="3"/>
  <c r="J234" i="3"/>
  <c r="I234" i="3"/>
  <c r="H234" i="3"/>
  <c r="G234" i="3"/>
  <c r="F234" i="3"/>
  <c r="E234" i="3"/>
  <c r="D234" i="3"/>
  <c r="C234" i="3"/>
  <c r="F232" i="3"/>
  <c r="C232" i="3"/>
  <c r="F228" i="3"/>
  <c r="D228" i="3"/>
  <c r="C228" i="3"/>
  <c r="E223" i="3"/>
  <c r="D223" i="3" s="1"/>
  <c r="J218" i="3"/>
  <c r="I218" i="3"/>
  <c r="H218" i="3"/>
  <c r="G218" i="3"/>
  <c r="F218" i="3"/>
  <c r="C217" i="3"/>
  <c r="C216" i="3"/>
  <c r="J215" i="3"/>
  <c r="I215" i="3"/>
  <c r="H215" i="3"/>
  <c r="H177" i="3" s="1"/>
  <c r="G215" i="3"/>
  <c r="G177" i="3" s="1"/>
  <c r="F215" i="3"/>
  <c r="E215" i="3"/>
  <c r="D215" i="3"/>
  <c r="C215" i="3"/>
  <c r="F214" i="3"/>
  <c r="C214" i="3" s="1"/>
  <c r="F209" i="3"/>
  <c r="C209" i="3"/>
  <c r="F204" i="3"/>
  <c r="C204" i="3" s="1"/>
  <c r="D199" i="3"/>
  <c r="D182" i="3" s="1"/>
  <c r="C199" i="3"/>
  <c r="D194" i="3"/>
  <c r="C194" i="3" s="1"/>
  <c r="C189" i="3"/>
  <c r="C188" i="3"/>
  <c r="C182" i="3" s="1"/>
  <c r="F184" i="3"/>
  <c r="C184" i="3"/>
  <c r="J182" i="3"/>
  <c r="I182" i="3"/>
  <c r="I177" i="3" s="1"/>
  <c r="H182" i="3"/>
  <c r="G182" i="3"/>
  <c r="F182" i="3"/>
  <c r="E182" i="3"/>
  <c r="C181" i="3"/>
  <c r="J178" i="3"/>
  <c r="I178" i="3"/>
  <c r="H178" i="3"/>
  <c r="G178" i="3"/>
  <c r="F178" i="3"/>
  <c r="F177" i="3" s="1"/>
  <c r="E178" i="3"/>
  <c r="D178" i="3"/>
  <c r="C178" i="3"/>
  <c r="J177" i="3"/>
  <c r="C176" i="3"/>
  <c r="C172" i="3" s="1"/>
  <c r="C167" i="3" s="1"/>
  <c r="C173" i="3"/>
  <c r="J172" i="3"/>
  <c r="I172" i="3"/>
  <c r="H172" i="3"/>
  <c r="H167" i="3" s="1"/>
  <c r="G172" i="3"/>
  <c r="F172" i="3"/>
  <c r="E172" i="3"/>
  <c r="D172" i="3"/>
  <c r="D167" i="3" s="1"/>
  <c r="C171" i="3"/>
  <c r="J168" i="3"/>
  <c r="I168" i="3"/>
  <c r="H168" i="3"/>
  <c r="G168" i="3"/>
  <c r="F168" i="3"/>
  <c r="E168" i="3"/>
  <c r="D168" i="3"/>
  <c r="C168" i="3"/>
  <c r="J167" i="3"/>
  <c r="I167" i="3"/>
  <c r="G167" i="3"/>
  <c r="F167" i="3"/>
  <c r="E167" i="3"/>
  <c r="J166" i="3"/>
  <c r="J158" i="3" s="1"/>
  <c r="F166" i="3"/>
  <c r="C166" i="3" s="1"/>
  <c r="G162" i="3"/>
  <c r="F162" i="3"/>
  <c r="C162" i="3"/>
  <c r="C158" i="3" s="1"/>
  <c r="I158" i="3"/>
  <c r="H158" i="3"/>
  <c r="H106" i="3" s="1"/>
  <c r="G158" i="3"/>
  <c r="G106" i="3" s="1"/>
  <c r="E158" i="3"/>
  <c r="D158" i="3"/>
  <c r="F157" i="3"/>
  <c r="C157" i="3" s="1"/>
  <c r="C152" i="3" s="1"/>
  <c r="J152" i="3"/>
  <c r="I152" i="3"/>
  <c r="H152" i="3"/>
  <c r="G152" i="3"/>
  <c r="F152" i="3"/>
  <c r="E152" i="3"/>
  <c r="D152" i="3"/>
  <c r="F151" i="3"/>
  <c r="C151" i="3"/>
  <c r="F150" i="3"/>
  <c r="C150" i="3" s="1"/>
  <c r="F149" i="3"/>
  <c r="C149" i="3"/>
  <c r="F145" i="3"/>
  <c r="D145" i="3"/>
  <c r="C145" i="3"/>
  <c r="F144" i="3"/>
  <c r="F127" i="3" s="1"/>
  <c r="D144" i="3"/>
  <c r="C144" i="3" s="1"/>
  <c r="C143" i="3"/>
  <c r="C142" i="3"/>
  <c r="D141" i="3"/>
  <c r="C141" i="3"/>
  <c r="C140" i="3"/>
  <c r="C139" i="3"/>
  <c r="F138" i="3"/>
  <c r="C138" i="3" s="1"/>
  <c r="D136" i="3"/>
  <c r="D127" i="3" s="1"/>
  <c r="D106" i="3" s="1"/>
  <c r="C136" i="3"/>
  <c r="C127" i="3" s="1"/>
  <c r="C132" i="3"/>
  <c r="C130" i="3"/>
  <c r="J127" i="3"/>
  <c r="I127" i="3"/>
  <c r="I106" i="3" s="1"/>
  <c r="H127" i="3"/>
  <c r="G127" i="3"/>
  <c r="E127" i="3"/>
  <c r="F123" i="3"/>
  <c r="C123" i="3"/>
  <c r="F122" i="3"/>
  <c r="C122" i="3" s="1"/>
  <c r="F121" i="3"/>
  <c r="C121" i="3"/>
  <c r="F120" i="3"/>
  <c r="C120" i="3" s="1"/>
  <c r="F118" i="3"/>
  <c r="C118" i="3"/>
  <c r="F116" i="3"/>
  <c r="C116" i="3"/>
  <c r="F112" i="3"/>
  <c r="C112" i="3"/>
  <c r="C111" i="3"/>
  <c r="F109" i="3"/>
  <c r="C109" i="3"/>
  <c r="J107" i="3"/>
  <c r="I107" i="3"/>
  <c r="H107" i="3"/>
  <c r="G107" i="3"/>
  <c r="F107" i="3"/>
  <c r="E107" i="3"/>
  <c r="D107" i="3"/>
  <c r="J106" i="3"/>
  <c r="C105" i="3"/>
  <c r="C104" i="3"/>
  <c r="C103" i="3"/>
  <c r="C102" i="3"/>
  <c r="C101" i="3"/>
  <c r="C97" i="3" s="1"/>
  <c r="C96" i="3" s="1"/>
  <c r="J97" i="3"/>
  <c r="I97" i="3"/>
  <c r="H97" i="3"/>
  <c r="G97" i="3"/>
  <c r="F97" i="3"/>
  <c r="E97" i="3"/>
  <c r="D97" i="3"/>
  <c r="J96" i="3"/>
  <c r="I96" i="3"/>
  <c r="H96" i="3"/>
  <c r="G96" i="3"/>
  <c r="F96" i="3"/>
  <c r="E96" i="3"/>
  <c r="D96" i="3"/>
  <c r="C95" i="3"/>
  <c r="C94" i="3"/>
  <c r="J93" i="3"/>
  <c r="I93" i="3"/>
  <c r="H93" i="3"/>
  <c r="G93" i="3"/>
  <c r="F93" i="3"/>
  <c r="E93" i="3"/>
  <c r="D93" i="3"/>
  <c r="C93" i="3"/>
  <c r="C92" i="3"/>
  <c r="C91" i="3"/>
  <c r="C86" i="3" s="1"/>
  <c r="C90" i="3"/>
  <c r="D88" i="3"/>
  <c r="C88" i="3"/>
  <c r="J86" i="3"/>
  <c r="I86" i="3"/>
  <c r="H86" i="3"/>
  <c r="G86" i="3"/>
  <c r="F86" i="3"/>
  <c r="E86" i="3"/>
  <c r="D86" i="3"/>
  <c r="C85" i="3"/>
  <c r="C80" i="3" s="1"/>
  <c r="C84" i="3"/>
  <c r="C82" i="3"/>
  <c r="J80" i="3"/>
  <c r="I80" i="3"/>
  <c r="H80" i="3"/>
  <c r="G80" i="3"/>
  <c r="F80" i="3"/>
  <c r="E80" i="3"/>
  <c r="D80" i="3"/>
  <c r="G79" i="3"/>
  <c r="G55" i="3" s="1"/>
  <c r="G24" i="3" s="1"/>
  <c r="F75" i="3"/>
  <c r="C75" i="3"/>
  <c r="F74" i="3"/>
  <c r="F69" i="3"/>
  <c r="C69" i="3"/>
  <c r="C64" i="3"/>
  <c r="C63" i="3"/>
  <c r="C62" i="3"/>
  <c r="C61" i="3"/>
  <c r="C59" i="3"/>
  <c r="C57" i="3"/>
  <c r="J55" i="3"/>
  <c r="I55" i="3"/>
  <c r="I24" i="3" s="1"/>
  <c r="H55" i="3"/>
  <c r="E55" i="3"/>
  <c r="E24" i="3" s="1"/>
  <c r="D55" i="3"/>
  <c r="J54" i="3"/>
  <c r="F54" i="3"/>
  <c r="D54" i="3"/>
  <c r="C54" i="3"/>
  <c r="F49" i="3"/>
  <c r="C49" i="3"/>
  <c r="F44" i="3"/>
  <c r="C44" i="3"/>
  <c r="F39" i="3"/>
  <c r="C39" i="3"/>
  <c r="D34" i="3"/>
  <c r="C34" i="3"/>
  <c r="D33" i="3"/>
  <c r="C33" i="3"/>
  <c r="C32" i="3"/>
  <c r="D31" i="3"/>
  <c r="C31" i="3" s="1"/>
  <c r="D30" i="3"/>
  <c r="C30" i="3" s="1"/>
  <c r="D29" i="3"/>
  <c r="C29" i="3" s="1"/>
  <c r="F28" i="3"/>
  <c r="C28" i="3" s="1"/>
  <c r="C25" i="3" s="1"/>
  <c r="J25" i="3"/>
  <c r="I25" i="3"/>
  <c r="H25" i="3"/>
  <c r="G25" i="3"/>
  <c r="F25" i="3"/>
  <c r="E25" i="3"/>
  <c r="J24" i="3"/>
  <c r="H24" i="3"/>
  <c r="F23" i="3"/>
  <c r="C23" i="3" s="1"/>
  <c r="C22" i="3" s="1"/>
  <c r="C21" i="3" s="1"/>
  <c r="J22" i="3"/>
  <c r="I22" i="3"/>
  <c r="H22" i="3"/>
  <c r="G22" i="3"/>
  <c r="E22" i="3"/>
  <c r="D22" i="3"/>
  <c r="J21" i="3"/>
  <c r="I21" i="3"/>
  <c r="H21" i="3"/>
  <c r="G21" i="3"/>
  <c r="E21" i="3"/>
  <c r="D21" i="3"/>
  <c r="C16" i="3"/>
  <c r="J15" i="3"/>
  <c r="I15" i="3"/>
  <c r="H15" i="3"/>
  <c r="G15" i="3"/>
  <c r="F15" i="3"/>
  <c r="E15" i="3"/>
  <c r="D15" i="3"/>
  <c r="C15" i="3"/>
  <c r="J14" i="3"/>
  <c r="I14" i="3"/>
  <c r="H14" i="3"/>
  <c r="G14" i="3"/>
  <c r="F14" i="3"/>
  <c r="E14" i="3"/>
  <c r="D14" i="3"/>
  <c r="C14" i="3"/>
  <c r="C489" i="3" l="1"/>
  <c r="C466" i="3" s="1"/>
  <c r="C633" i="3"/>
  <c r="C601" i="3" s="1"/>
  <c r="J732" i="3"/>
  <c r="C404" i="3"/>
  <c r="C403" i="3" s="1"/>
  <c r="C554" i="3"/>
  <c r="D545" i="3"/>
  <c r="D544" i="3" s="1"/>
  <c r="C851" i="3"/>
  <c r="F79" i="3"/>
  <c r="C79" i="3" s="1"/>
  <c r="C107" i="3"/>
  <c r="C106" i="3" s="1"/>
  <c r="E106" i="3"/>
  <c r="D218" i="3"/>
  <c r="D177" i="3" s="1"/>
  <c r="D537" i="3" s="1"/>
  <c r="C223" i="3"/>
  <c r="C218" i="3" s="1"/>
  <c r="D306" i="3"/>
  <c r="C311" i="3"/>
  <c r="C306" i="3" s="1"/>
  <c r="D321" i="3"/>
  <c r="H321" i="3"/>
  <c r="D422" i="3"/>
  <c r="H422" i="3"/>
  <c r="C422" i="3"/>
  <c r="E466" i="3"/>
  <c r="I466" i="3"/>
  <c r="I537" i="3" s="1"/>
  <c r="I852" i="3" s="1"/>
  <c r="F489" i="3"/>
  <c r="F466" i="3" s="1"/>
  <c r="C514" i="3"/>
  <c r="F545" i="3"/>
  <c r="F544" i="3" s="1"/>
  <c r="C545" i="3"/>
  <c r="C544" i="3" s="1"/>
  <c r="H732" i="3"/>
  <c r="H601" i="3"/>
  <c r="C639" i="3"/>
  <c r="D633" i="3"/>
  <c r="D601" i="3" s="1"/>
  <c r="C661" i="3"/>
  <c r="C651" i="3" s="1"/>
  <c r="C650" i="3" s="1"/>
  <c r="D651" i="3"/>
  <c r="D650" i="3" s="1"/>
  <c r="D714" i="3"/>
  <c r="D707" i="3" s="1"/>
  <c r="C714" i="3"/>
  <c r="C707" i="3" s="1"/>
  <c r="C177" i="3"/>
  <c r="G732" i="3"/>
  <c r="F22" i="3"/>
  <c r="F21" i="3" s="1"/>
  <c r="D25" i="3"/>
  <c r="D24" i="3" s="1"/>
  <c r="C74" i="3"/>
  <c r="C55" i="3" s="1"/>
  <c r="C24" i="3" s="1"/>
  <c r="F55" i="3"/>
  <c r="F24" i="3" s="1"/>
  <c r="F537" i="3" s="1"/>
  <c r="F158" i="3"/>
  <c r="F106" i="3" s="1"/>
  <c r="C269" i="3"/>
  <c r="C266" i="3" s="1"/>
  <c r="D266" i="3"/>
  <c r="D240" i="3" s="1"/>
  <c r="C305" i="3"/>
  <c r="C302" i="3" s="1"/>
  <c r="C292" i="3" s="1"/>
  <c r="D302" i="3"/>
  <c r="D292" i="3" s="1"/>
  <c r="D466" i="3"/>
  <c r="H466" i="3"/>
  <c r="I732" i="3"/>
  <c r="H537" i="3"/>
  <c r="H852" i="3" s="1"/>
  <c r="E218" i="3"/>
  <c r="E177" i="3" s="1"/>
  <c r="E537" i="3" s="1"/>
  <c r="E852" i="3" s="1"/>
  <c r="C240" i="3"/>
  <c r="G240" i="3"/>
  <c r="G537" i="3" s="1"/>
  <c r="G852" i="3" s="1"/>
  <c r="F292" i="3"/>
  <c r="J292" i="3"/>
  <c r="J537" i="3" s="1"/>
  <c r="J852" i="3" s="1"/>
  <c r="C421" i="3"/>
  <c r="D404" i="3"/>
  <c r="D403" i="3" s="1"/>
  <c r="C525" i="3"/>
  <c r="C521" i="3" s="1"/>
  <c r="C520" i="3" s="1"/>
  <c r="F521" i="3"/>
  <c r="F520" i="3" s="1"/>
  <c r="C572" i="3"/>
  <c r="C570" i="3" s="1"/>
  <c r="C569" i="3" s="1"/>
  <c r="D570" i="3"/>
  <c r="D569" i="3" s="1"/>
  <c r="F677" i="3"/>
  <c r="F672" i="3" s="1"/>
  <c r="D800" i="3"/>
  <c r="D851" i="3" s="1"/>
  <c r="H800" i="3"/>
  <c r="C537" i="3" l="1"/>
  <c r="C852" i="3" s="1"/>
  <c r="C732" i="3"/>
  <c r="F732" i="3"/>
  <c r="F852" i="3" s="1"/>
  <c r="D732" i="3"/>
  <c r="D852" i="3" s="1"/>
  <c r="M116" i="2" l="1"/>
  <c r="K116" i="2"/>
  <c r="G116" i="2"/>
  <c r="E116" i="2"/>
  <c r="I114" i="2"/>
  <c r="C114" i="2"/>
  <c r="I113" i="2"/>
  <c r="C113" i="2"/>
  <c r="I112" i="2"/>
  <c r="I111" i="2"/>
  <c r="C111" i="2"/>
  <c r="I110" i="2"/>
  <c r="C110" i="2"/>
  <c r="I109" i="2"/>
  <c r="C109" i="2"/>
  <c r="I108" i="2"/>
  <c r="C108" i="2"/>
  <c r="I107" i="2"/>
  <c r="I106" i="2"/>
  <c r="C106" i="2"/>
  <c r="I105" i="2"/>
  <c r="C105" i="2"/>
  <c r="I104" i="2"/>
  <c r="C104" i="2"/>
  <c r="I103" i="2"/>
  <c r="C103" i="2"/>
  <c r="I102" i="2"/>
  <c r="I116" i="2" s="1"/>
  <c r="C102" i="2"/>
  <c r="C116" i="2" s="1"/>
  <c r="M97" i="2"/>
  <c r="K97" i="2"/>
  <c r="G97" i="2"/>
  <c r="E97" i="2"/>
  <c r="I95" i="2"/>
  <c r="C95" i="2"/>
  <c r="I94" i="2"/>
  <c r="C94" i="2"/>
  <c r="I93" i="2"/>
  <c r="C93" i="2"/>
  <c r="I92" i="2"/>
  <c r="C92" i="2"/>
  <c r="I90" i="2"/>
  <c r="I97" i="2" s="1"/>
  <c r="C90" i="2"/>
  <c r="C97" i="2" s="1"/>
  <c r="F85" i="2"/>
  <c r="D85" i="2"/>
  <c r="K84" i="2"/>
  <c r="I84" i="2"/>
  <c r="C84" i="2"/>
  <c r="I83" i="2"/>
  <c r="K82" i="2"/>
  <c r="I82" i="2"/>
  <c r="E82" i="2"/>
  <c r="C82" i="2" s="1"/>
  <c r="C40" i="2" s="1"/>
  <c r="K80" i="2"/>
  <c r="I80" i="2"/>
  <c r="E80" i="2"/>
  <c r="C80" i="2" s="1"/>
  <c r="C39" i="2" s="1"/>
  <c r="K79" i="2"/>
  <c r="I79" i="2"/>
  <c r="C79" i="2"/>
  <c r="C38" i="2" s="1"/>
  <c r="K78" i="2"/>
  <c r="I78" i="2"/>
  <c r="E78" i="2"/>
  <c r="C78" i="2"/>
  <c r="C37" i="2" s="1"/>
  <c r="M76" i="2"/>
  <c r="K76" i="2"/>
  <c r="I76" i="2"/>
  <c r="E76" i="2"/>
  <c r="C76" i="2" s="1"/>
  <c r="C36" i="2" s="1"/>
  <c r="I75" i="2"/>
  <c r="C75" i="2"/>
  <c r="M74" i="2"/>
  <c r="M34" i="2" s="1"/>
  <c r="K74" i="2"/>
  <c r="E74" i="2"/>
  <c r="C74" i="2"/>
  <c r="C34" i="2" s="1"/>
  <c r="I73" i="2"/>
  <c r="C73" i="2"/>
  <c r="I72" i="2"/>
  <c r="I71" i="2"/>
  <c r="I31" i="2" s="1"/>
  <c r="C71" i="2"/>
  <c r="K70" i="2"/>
  <c r="I70" i="2"/>
  <c r="E70" i="2"/>
  <c r="C70" i="2" s="1"/>
  <c r="C29" i="2" s="1"/>
  <c r="I69" i="2"/>
  <c r="I68" i="2"/>
  <c r="C68" i="2"/>
  <c r="C27" i="2" s="1"/>
  <c r="M67" i="2"/>
  <c r="K67" i="2"/>
  <c r="I67" i="2"/>
  <c r="G67" i="2"/>
  <c r="C67" i="2" s="1"/>
  <c r="C24" i="2" s="1"/>
  <c r="E67" i="2"/>
  <c r="K66" i="2"/>
  <c r="I66" i="2"/>
  <c r="I23" i="2" s="1"/>
  <c r="E66" i="2"/>
  <c r="C66" i="2"/>
  <c r="K65" i="2"/>
  <c r="I65" i="2"/>
  <c r="I22" i="2" s="1"/>
  <c r="E65" i="2"/>
  <c r="C65" i="2"/>
  <c r="I64" i="2"/>
  <c r="C64" i="2"/>
  <c r="C21" i="2" s="1"/>
  <c r="M63" i="2"/>
  <c r="M85" i="2" s="1"/>
  <c r="K63" i="2"/>
  <c r="K85" i="2" s="1"/>
  <c r="I63" i="2"/>
  <c r="G63" i="2"/>
  <c r="G85" i="2" s="1"/>
  <c r="E63" i="2"/>
  <c r="E85" i="2" s="1"/>
  <c r="C62" i="2"/>
  <c r="I61" i="2"/>
  <c r="I17" i="2" s="1"/>
  <c r="C61" i="2"/>
  <c r="I60" i="2"/>
  <c r="C60" i="2"/>
  <c r="M42" i="2"/>
  <c r="K42" i="2"/>
  <c r="I42" i="2"/>
  <c r="G42" i="2"/>
  <c r="E42" i="2"/>
  <c r="C42" i="2"/>
  <c r="M41" i="2"/>
  <c r="K41" i="2"/>
  <c r="I41" i="2"/>
  <c r="G41" i="2"/>
  <c r="E41" i="2"/>
  <c r="C41" i="2"/>
  <c r="M40" i="2"/>
  <c r="K40" i="2"/>
  <c r="I40" i="2"/>
  <c r="G40" i="2"/>
  <c r="M39" i="2"/>
  <c r="K39" i="2"/>
  <c r="I39" i="2"/>
  <c r="G39" i="2"/>
  <c r="M38" i="2"/>
  <c r="K38" i="2"/>
  <c r="I38" i="2"/>
  <c r="G38" i="2"/>
  <c r="E38" i="2"/>
  <c r="M37" i="2"/>
  <c r="K37" i="2"/>
  <c r="I37" i="2"/>
  <c r="G37" i="2"/>
  <c r="E37" i="2"/>
  <c r="M36" i="2"/>
  <c r="K36" i="2"/>
  <c r="I36" i="2"/>
  <c r="G36" i="2"/>
  <c r="M35" i="2"/>
  <c r="K35" i="2"/>
  <c r="I35" i="2"/>
  <c r="G35" i="2"/>
  <c r="E35" i="2"/>
  <c r="C35" i="2"/>
  <c r="K34" i="2"/>
  <c r="G34" i="2"/>
  <c r="E34" i="2"/>
  <c r="M33" i="2"/>
  <c r="K33" i="2"/>
  <c r="I33" i="2"/>
  <c r="G33" i="2"/>
  <c r="E33" i="2"/>
  <c r="C33" i="2"/>
  <c r="M32" i="2"/>
  <c r="K32" i="2"/>
  <c r="I32" i="2"/>
  <c r="G32" i="2"/>
  <c r="E32" i="2"/>
  <c r="C32" i="2"/>
  <c r="M31" i="2"/>
  <c r="K31" i="2"/>
  <c r="G31" i="2"/>
  <c r="E31" i="2"/>
  <c r="C31" i="2"/>
  <c r="M30" i="2"/>
  <c r="K30" i="2"/>
  <c r="I30" i="2"/>
  <c r="G30" i="2"/>
  <c r="E30" i="2"/>
  <c r="C30" i="2"/>
  <c r="M29" i="2"/>
  <c r="K29" i="2"/>
  <c r="I29" i="2"/>
  <c r="G29" i="2"/>
  <c r="M27" i="2"/>
  <c r="K27" i="2"/>
  <c r="I27" i="2"/>
  <c r="G27" i="2"/>
  <c r="E27" i="2"/>
  <c r="M26" i="2"/>
  <c r="K26" i="2"/>
  <c r="I26" i="2"/>
  <c r="G26" i="2"/>
  <c r="E26" i="2"/>
  <c r="C26" i="2"/>
  <c r="M24" i="2"/>
  <c r="K24" i="2"/>
  <c r="I24" i="2"/>
  <c r="E24" i="2"/>
  <c r="M23" i="2"/>
  <c r="K23" i="2"/>
  <c r="G23" i="2"/>
  <c r="E23" i="2"/>
  <c r="C23" i="2"/>
  <c r="M22" i="2"/>
  <c r="K22" i="2"/>
  <c r="G22" i="2"/>
  <c r="E22" i="2"/>
  <c r="C22" i="2"/>
  <c r="M21" i="2"/>
  <c r="K21" i="2"/>
  <c r="I21" i="2"/>
  <c r="G21" i="2"/>
  <c r="E21" i="2"/>
  <c r="M20" i="2"/>
  <c r="K20" i="2"/>
  <c r="I20" i="2"/>
  <c r="E20" i="2"/>
  <c r="G19" i="2"/>
  <c r="E19" i="2"/>
  <c r="C19" i="2"/>
  <c r="M17" i="2"/>
  <c r="K17" i="2"/>
  <c r="G17" i="2"/>
  <c r="E17" i="2"/>
  <c r="C17" i="2"/>
  <c r="M16" i="2"/>
  <c r="K16" i="2"/>
  <c r="I16" i="2"/>
  <c r="G16" i="2"/>
  <c r="E16" i="2"/>
  <c r="C16" i="2"/>
  <c r="L22" i="2" l="1"/>
  <c r="L23" i="2"/>
  <c r="L20" i="2"/>
  <c r="L26" i="2"/>
  <c r="L16" i="2"/>
  <c r="L17" i="2"/>
  <c r="M44" i="2"/>
  <c r="L24" i="2"/>
  <c r="G20" i="2"/>
  <c r="G24" i="2"/>
  <c r="C44" i="2"/>
  <c r="G44" i="2"/>
  <c r="H26" i="2" s="1"/>
  <c r="K44" i="2"/>
  <c r="C63" i="2"/>
  <c r="C20" i="2" s="1"/>
  <c r="I74" i="2"/>
  <c r="I34" i="2" s="1"/>
  <c r="E29" i="2"/>
  <c r="E44" i="2" s="1"/>
  <c r="E36" i="2"/>
  <c r="E39" i="2"/>
  <c r="E40" i="2"/>
  <c r="F44" i="2" l="1"/>
  <c r="F41" i="2"/>
  <c r="F42" i="2"/>
  <c r="F38" i="2"/>
  <c r="F17" i="2"/>
  <c r="F34" i="2"/>
  <c r="F33" i="2"/>
  <c r="F16" i="2"/>
  <c r="F24" i="2"/>
  <c r="F35" i="2"/>
  <c r="F32" i="2"/>
  <c r="F31" i="2"/>
  <c r="F23" i="2"/>
  <c r="F22" i="2"/>
  <c r="F20" i="2"/>
  <c r="F37" i="2"/>
  <c r="F30" i="2"/>
  <c r="F27" i="2"/>
  <c r="F26" i="2"/>
  <c r="F21" i="2"/>
  <c r="F40" i="2"/>
  <c r="J34" i="2"/>
  <c r="D44" i="2"/>
  <c r="D42" i="2"/>
  <c r="D41" i="2"/>
  <c r="D35" i="2"/>
  <c r="D33" i="2"/>
  <c r="D32" i="2"/>
  <c r="D31" i="2"/>
  <c r="D30" i="2"/>
  <c r="D37" i="2"/>
  <c r="D23" i="2"/>
  <c r="D39" i="2"/>
  <c r="D26" i="2"/>
  <c r="H17" i="2"/>
  <c r="D29" i="2"/>
  <c r="D19" i="2"/>
  <c r="F39" i="2"/>
  <c r="D20" i="2"/>
  <c r="H24" i="2"/>
  <c r="D36" i="2"/>
  <c r="D22" i="2"/>
  <c r="D27" i="2"/>
  <c r="H23" i="2"/>
  <c r="I44" i="2"/>
  <c r="C85" i="2"/>
  <c r="D17" i="2"/>
  <c r="D16" i="2"/>
  <c r="F36" i="2"/>
  <c r="L44" i="2"/>
  <c r="L42" i="2"/>
  <c r="L41" i="2"/>
  <c r="L40" i="2"/>
  <c r="L39" i="2"/>
  <c r="L38" i="2"/>
  <c r="L37" i="2"/>
  <c r="L36" i="2"/>
  <c r="L35" i="2"/>
  <c r="L34" i="2"/>
  <c r="L33" i="2"/>
  <c r="L32" i="2"/>
  <c r="L31" i="2"/>
  <c r="L30" i="2"/>
  <c r="L29" i="2"/>
  <c r="L27" i="2"/>
  <c r="H20" i="2"/>
  <c r="D21" i="2"/>
  <c r="N44" i="2"/>
  <c r="N42" i="2"/>
  <c r="N41" i="2"/>
  <c r="N40" i="2"/>
  <c r="N39" i="2"/>
  <c r="N38" i="2"/>
  <c r="N35" i="2"/>
  <c r="N32" i="2"/>
  <c r="N37" i="2"/>
  <c r="N36" i="2"/>
  <c r="N31" i="2"/>
  <c r="N30" i="2"/>
  <c r="N27" i="2"/>
  <c r="N26" i="2"/>
  <c r="N23" i="2"/>
  <c r="N22" i="2"/>
  <c r="N21" i="2"/>
  <c r="N20" i="2"/>
  <c r="N29" i="2"/>
  <c r="N24" i="2"/>
  <c r="N33" i="2"/>
  <c r="N17" i="2"/>
  <c r="N16" i="2"/>
  <c r="D24" i="2"/>
  <c r="H22" i="2"/>
  <c r="L21" i="2"/>
  <c r="D40" i="2"/>
  <c r="N34" i="2"/>
  <c r="F29" i="2"/>
  <c r="H44" i="2"/>
  <c r="H42" i="2"/>
  <c r="H41" i="2"/>
  <c r="H40" i="2"/>
  <c r="H39" i="2"/>
  <c r="H38" i="2"/>
  <c r="H37" i="2"/>
  <c r="H36" i="2"/>
  <c r="H35" i="2"/>
  <c r="H34" i="2"/>
  <c r="H33" i="2"/>
  <c r="H32" i="2"/>
  <c r="H31" i="2"/>
  <c r="H30" i="2"/>
  <c r="H29" i="2"/>
  <c r="H27" i="2"/>
  <c r="D38" i="2"/>
  <c r="H16" i="2"/>
  <c r="I85" i="2"/>
  <c r="D34" i="2"/>
  <c r="H21" i="2"/>
  <c r="J42" i="2" l="1"/>
  <c r="J40" i="2"/>
  <c r="J38" i="2"/>
  <c r="J41" i="2"/>
  <c r="J44" i="2"/>
  <c r="J37" i="2"/>
  <c r="J36" i="2"/>
  <c r="J31" i="2"/>
  <c r="J30" i="2"/>
  <c r="J27" i="2"/>
  <c r="J26" i="2"/>
  <c r="J23" i="2"/>
  <c r="J22" i="2"/>
  <c r="J21" i="2"/>
  <c r="J20" i="2"/>
  <c r="J39" i="2"/>
  <c r="J29" i="2"/>
  <c r="J24" i="2"/>
  <c r="J32" i="2"/>
  <c r="J33" i="2"/>
  <c r="J16" i="2"/>
  <c r="J35" i="2"/>
  <c r="J17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Joanna Winiecka</author>
  </authors>
  <commentList>
    <comment ref="D470" authorId="0" shapeId="0" xr:uid="{B267739A-BBFA-41E2-B9F2-9EBE276157A6}">
      <text>
        <r>
          <rPr>
            <b/>
            <sz val="9"/>
            <color indexed="81"/>
            <rFont val="Tahoma"/>
            <family val="2"/>
            <charset val="238"/>
          </rPr>
          <t>Joanna Winiecka:</t>
        </r>
        <r>
          <rPr>
            <sz val="9"/>
            <color indexed="81"/>
            <rFont val="Tahoma"/>
            <family val="2"/>
            <charset val="238"/>
          </rPr>
          <t xml:space="preserve">
kwotę wpisujemy z Wydz. Nadzoru Właścicielskiego i Gospodarki Komunalnej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Renata Siedlecka</author>
  </authors>
  <commentList>
    <comment ref="I25" authorId="0" shapeId="0" xr:uid="{946F7FC7-725B-4108-B71B-14CDA770E246}">
      <text>
        <r>
          <rPr>
            <b/>
            <sz val="9"/>
            <color indexed="81"/>
            <rFont val="Tahoma"/>
            <family val="2"/>
            <charset val="238"/>
          </rPr>
          <t>Renata Siedlecka:</t>
        </r>
        <r>
          <rPr>
            <sz val="9"/>
            <color indexed="81"/>
            <rFont val="Tahoma"/>
            <family val="2"/>
            <charset val="238"/>
          </rPr>
          <t xml:space="preserve">
Fund. Szwajc PSPRM</t>
        </r>
      </text>
    </comment>
    <comment ref="J25" authorId="0" shapeId="0" xr:uid="{2177DFE6-5E13-40B5-8068-030210FBA297}">
      <text>
        <r>
          <rPr>
            <b/>
            <sz val="9"/>
            <color indexed="81"/>
            <rFont val="Tahoma"/>
            <family val="2"/>
            <charset val="238"/>
          </rPr>
          <t>Renata Siedlecka:</t>
        </r>
        <r>
          <rPr>
            <sz val="9"/>
            <color indexed="81"/>
            <rFont val="Tahoma"/>
            <family val="2"/>
            <charset val="238"/>
          </rPr>
          <t xml:space="preserve">
Fund. Szwajc PSPRM
"6" 425.250
"7" 2.409.750,00</t>
        </r>
      </text>
    </comment>
    <comment ref="I26" authorId="0" shapeId="0" xr:uid="{BFF78AD7-CCFD-4391-B877-0333449132CF}">
      <text>
        <r>
          <rPr>
            <b/>
            <sz val="9"/>
            <color indexed="81"/>
            <rFont val="Tahoma"/>
            <family val="2"/>
            <charset val="238"/>
          </rPr>
          <t>Renata Siedlecka:</t>
        </r>
        <r>
          <rPr>
            <sz val="9"/>
            <color indexed="81"/>
            <rFont val="Tahoma"/>
            <family val="2"/>
            <charset val="238"/>
          </rPr>
          <t xml:space="preserve">
FEKiP</t>
        </r>
      </text>
    </comment>
    <comment ref="J26" authorId="0" shapeId="0" xr:uid="{A0924178-F33A-4044-A6D8-2EBA1166A337}">
      <text>
        <r>
          <rPr>
            <b/>
            <sz val="9"/>
            <color indexed="81"/>
            <rFont val="Tahoma"/>
            <family val="2"/>
            <charset val="238"/>
          </rPr>
          <t>Renata Siedlecka:</t>
        </r>
        <r>
          <rPr>
            <sz val="9"/>
            <color indexed="81"/>
            <rFont val="Tahoma"/>
            <family val="2"/>
            <charset val="238"/>
          </rPr>
          <t xml:space="preserve">
Fund. Eur. Dla Kuj. i Pom.
"8" 4.668.589,59
"9" 801.499,85 - wkład wł.</t>
        </r>
      </text>
    </comment>
    <comment ref="H29" authorId="0" shapeId="0" xr:uid="{3D6CB1CB-533E-4578-A794-B694EAAFCE0F}">
      <text>
        <r>
          <rPr>
            <b/>
            <sz val="9"/>
            <color indexed="81"/>
            <rFont val="Tahoma"/>
            <family val="2"/>
            <charset val="238"/>
          </rPr>
          <t>Renata Siedlecka:</t>
        </r>
        <r>
          <rPr>
            <sz val="9"/>
            <color indexed="81"/>
            <rFont val="Tahoma"/>
            <family val="2"/>
            <charset val="238"/>
          </rPr>
          <t xml:space="preserve">
Polski Ład </t>
        </r>
      </text>
    </comment>
    <comment ref="H30" authorId="0" shapeId="0" xr:uid="{722F1773-78E1-46C7-B29E-3E9D3E120ACF}">
      <text>
        <r>
          <rPr>
            <b/>
            <sz val="9"/>
            <color indexed="81"/>
            <rFont val="Tahoma"/>
            <family val="2"/>
            <charset val="238"/>
          </rPr>
          <t>Renata Siedlecka:</t>
        </r>
        <r>
          <rPr>
            <sz val="9"/>
            <color indexed="81"/>
            <rFont val="Tahoma"/>
            <family val="2"/>
            <charset val="238"/>
          </rPr>
          <t xml:space="preserve">
RFRD</t>
        </r>
      </text>
    </comment>
    <comment ref="I31" authorId="0" shapeId="0" xr:uid="{D6D29BF5-AC0E-42FA-B94E-77E974A3AE26}">
      <text>
        <r>
          <rPr>
            <b/>
            <sz val="9"/>
            <color indexed="81"/>
            <rFont val="Tahoma"/>
            <family val="2"/>
            <charset val="238"/>
          </rPr>
          <t>Renata Siedlecka:</t>
        </r>
        <r>
          <rPr>
            <sz val="9"/>
            <color indexed="81"/>
            <rFont val="Tahoma"/>
            <family val="2"/>
            <charset val="238"/>
          </rPr>
          <t xml:space="preserve">
FEKiP</t>
        </r>
      </text>
    </comment>
    <comment ref="I32" authorId="0" shapeId="0" xr:uid="{0C887C95-558E-41D9-B288-3BCB2D2A7060}">
      <text>
        <r>
          <rPr>
            <b/>
            <sz val="9"/>
            <color indexed="81"/>
            <rFont val="Tahoma"/>
            <family val="2"/>
            <charset val="238"/>
          </rPr>
          <t>Renata Siedlecka:</t>
        </r>
        <r>
          <rPr>
            <sz val="9"/>
            <color indexed="81"/>
            <rFont val="Tahoma"/>
            <family val="2"/>
            <charset val="238"/>
          </rPr>
          <t xml:space="preserve">
FEKiP</t>
        </r>
      </text>
    </comment>
    <comment ref="J32" authorId="0" shapeId="0" xr:uid="{8124BD24-B73C-4764-B782-072D306011C7}">
      <text>
        <r>
          <rPr>
            <b/>
            <sz val="9"/>
            <color indexed="81"/>
            <rFont val="Tahoma"/>
            <family val="2"/>
            <charset val="238"/>
          </rPr>
          <t>Renata Siedlecka:</t>
        </r>
        <r>
          <rPr>
            <sz val="9"/>
            <color indexed="81"/>
            <rFont val="Tahoma"/>
            <family val="2"/>
            <charset val="238"/>
          </rPr>
          <t xml:space="preserve">
FEdKiP dofin. 2.975.000,00</t>
        </r>
      </text>
    </comment>
    <comment ref="H38" authorId="0" shapeId="0" xr:uid="{913F4E31-6CBF-4767-ADA9-FDB7818108DA}">
      <text>
        <r>
          <rPr>
            <b/>
            <sz val="9"/>
            <color indexed="81"/>
            <rFont val="Tahoma"/>
            <family val="2"/>
            <charset val="238"/>
          </rPr>
          <t>Renata Siedlecka:</t>
        </r>
        <r>
          <rPr>
            <sz val="9"/>
            <color indexed="81"/>
            <rFont val="Tahoma"/>
            <family val="2"/>
            <charset val="238"/>
          </rPr>
          <t xml:space="preserve">
RFRD</t>
        </r>
      </text>
    </comment>
    <comment ref="I39" authorId="0" shapeId="0" xr:uid="{75659445-4C8C-4C16-A57A-93A4AEF2A7BD}">
      <text>
        <r>
          <rPr>
            <b/>
            <sz val="9"/>
            <color indexed="81"/>
            <rFont val="Tahoma"/>
            <family val="2"/>
            <charset val="238"/>
          </rPr>
          <t>Renata Siedlecka:</t>
        </r>
        <r>
          <rPr>
            <sz val="9"/>
            <color indexed="81"/>
            <rFont val="Tahoma"/>
            <family val="2"/>
            <charset val="238"/>
          </rPr>
          <t xml:space="preserve">
feniks</t>
        </r>
      </text>
    </comment>
    <comment ref="J39" authorId="0" shapeId="0" xr:uid="{58F46CBB-D6C9-47BE-954C-E8AF92CEC82C}">
      <text>
        <r>
          <rPr>
            <b/>
            <sz val="9"/>
            <color indexed="81"/>
            <rFont val="Tahoma"/>
            <family val="2"/>
            <charset val="238"/>
          </rPr>
          <t>Renata Siedlecka:</t>
        </r>
        <r>
          <rPr>
            <sz val="9"/>
            <color indexed="81"/>
            <rFont val="Tahoma"/>
            <family val="2"/>
            <charset val="238"/>
          </rPr>
          <t xml:space="preserve">
FENiKS dofin. 4.587.058,06</t>
        </r>
      </text>
    </comment>
    <comment ref="I41" authorId="0" shapeId="0" xr:uid="{07A048EC-A733-499C-9B83-7EADE97A7ED5}">
      <text>
        <r>
          <rPr>
            <b/>
            <sz val="9"/>
            <color indexed="81"/>
            <rFont val="Tahoma"/>
            <family val="2"/>
            <charset val="238"/>
          </rPr>
          <t>Renata Siedlecka:</t>
        </r>
        <r>
          <rPr>
            <sz val="9"/>
            <color indexed="81"/>
            <rFont val="Tahoma"/>
            <family val="2"/>
            <charset val="238"/>
          </rPr>
          <t xml:space="preserve">
Fund. Szwajc PSPRM</t>
        </r>
      </text>
    </comment>
    <comment ref="H46" authorId="0" shapeId="0" xr:uid="{CE8C4E67-3AD0-473B-BB7F-D8984CF5B0CA}">
      <text>
        <r>
          <rPr>
            <b/>
            <sz val="9"/>
            <color indexed="81"/>
            <rFont val="Tahoma"/>
            <family val="2"/>
            <charset val="238"/>
          </rPr>
          <t>Renata Siedlecka:</t>
        </r>
        <r>
          <rPr>
            <sz val="9"/>
            <color indexed="81"/>
            <rFont val="Tahoma"/>
            <family val="2"/>
            <charset val="238"/>
          </rPr>
          <t xml:space="preserve">
RFRD</t>
        </r>
      </text>
    </comment>
    <comment ref="G70" authorId="0" shapeId="0" xr:uid="{000BCD51-D8CF-4C50-970E-3C5A717D0969}">
      <text>
        <r>
          <rPr>
            <b/>
            <sz val="9"/>
            <color indexed="81"/>
            <rFont val="Tahoma"/>
            <family val="2"/>
            <charset val="238"/>
          </rPr>
          <t>Renata Siedlecka:</t>
        </r>
        <r>
          <rPr>
            <sz val="9"/>
            <color indexed="81"/>
            <rFont val="Tahoma"/>
            <family val="2"/>
            <charset val="238"/>
          </rPr>
          <t xml:space="preserve">
"9" 137.940,00 KPO
"0" 432.060,00 </t>
        </r>
      </text>
    </comment>
    <comment ref="H70" authorId="0" shapeId="0" xr:uid="{4A6DF5C5-705B-46B5-9BE4-A03A6B811810}">
      <text>
        <r>
          <rPr>
            <b/>
            <sz val="9"/>
            <color indexed="81"/>
            <rFont val="Tahoma"/>
            <family val="2"/>
            <charset val="238"/>
          </rPr>
          <t>Renata Siedlecka:</t>
        </r>
        <r>
          <rPr>
            <sz val="9"/>
            <color indexed="81"/>
            <rFont val="Tahoma"/>
            <family val="2"/>
            <charset val="238"/>
          </rPr>
          <t xml:space="preserve">
FD BGK</t>
        </r>
      </text>
    </comment>
    <comment ref="I70" authorId="0" shapeId="0" xr:uid="{302035BF-604D-4A99-9330-05D71316AFBE}">
      <text>
        <r>
          <rPr>
            <b/>
            <sz val="9"/>
            <color indexed="81"/>
            <rFont val="Tahoma"/>
            <family val="2"/>
            <charset val="238"/>
          </rPr>
          <t>Renata Siedlecka:</t>
        </r>
        <r>
          <rPr>
            <sz val="9"/>
            <color indexed="81"/>
            <rFont val="Tahoma"/>
            <family val="2"/>
            <charset val="238"/>
          </rPr>
          <t xml:space="preserve">
KPO</t>
        </r>
      </text>
    </comment>
    <comment ref="J70" authorId="0" shapeId="0" xr:uid="{781CF95A-BA73-4874-8E73-D5D0A4ABD158}">
      <text>
        <r>
          <rPr>
            <b/>
            <sz val="9"/>
            <color indexed="81"/>
            <rFont val="Tahoma"/>
            <family val="2"/>
            <charset val="238"/>
          </rPr>
          <t>Renata Siedlecka:</t>
        </r>
        <r>
          <rPr>
            <sz val="9"/>
            <color indexed="81"/>
            <rFont val="Tahoma"/>
            <family val="2"/>
            <charset val="238"/>
          </rPr>
          <t xml:space="preserve">
środki własne"0"</t>
        </r>
      </text>
    </comment>
    <comment ref="G72" authorId="0" shapeId="0" xr:uid="{AEAFA6BC-5076-4967-8A74-496A2F1F8CA5}">
      <text>
        <r>
          <rPr>
            <b/>
            <sz val="9"/>
            <color indexed="81"/>
            <rFont val="Tahoma"/>
            <family val="2"/>
            <charset val="238"/>
          </rPr>
          <t>Renata Siedlecka:</t>
        </r>
        <r>
          <rPr>
            <sz val="9"/>
            <color indexed="81"/>
            <rFont val="Tahoma"/>
            <family val="2"/>
            <charset val="238"/>
          </rPr>
          <t xml:space="preserve">
"9" 266.571,23 KPO
"0" 1.636.149,87</t>
        </r>
      </text>
    </comment>
    <comment ref="H72" authorId="0" shapeId="0" xr:uid="{C17A8E6A-7321-4C9B-8AC6-B401DE0A72DE}">
      <text>
        <r>
          <rPr>
            <b/>
            <sz val="9"/>
            <color indexed="81"/>
            <rFont val="Tahoma"/>
            <family val="2"/>
            <charset val="238"/>
          </rPr>
          <t>Renata Siedlecka:</t>
        </r>
        <r>
          <rPr>
            <sz val="9"/>
            <color indexed="81"/>
            <rFont val="Tahoma"/>
            <family val="2"/>
            <charset val="238"/>
          </rPr>
          <t xml:space="preserve">
FD BGK</t>
        </r>
      </text>
    </comment>
    <comment ref="I72" authorId="0" shapeId="0" xr:uid="{06AF7D2D-D822-45F1-B210-41ED0F1A4960}">
      <text>
        <r>
          <rPr>
            <b/>
            <sz val="9"/>
            <color indexed="81"/>
            <rFont val="Tahoma"/>
            <family val="2"/>
            <charset val="238"/>
          </rPr>
          <t>Renata Siedlecka:</t>
        </r>
        <r>
          <rPr>
            <sz val="9"/>
            <color indexed="81"/>
            <rFont val="Tahoma"/>
            <family val="2"/>
            <charset val="238"/>
          </rPr>
          <t xml:space="preserve">
KPO</t>
        </r>
      </text>
    </comment>
    <comment ref="J72" authorId="0" shapeId="0" xr:uid="{4E11BB1E-1700-47D9-9E9F-3CF03C3EB639}">
      <text>
        <r>
          <rPr>
            <b/>
            <sz val="9"/>
            <color indexed="81"/>
            <rFont val="Tahoma"/>
            <family val="2"/>
            <charset val="238"/>
          </rPr>
          <t>Renata Siedlecka:</t>
        </r>
        <r>
          <rPr>
            <sz val="9"/>
            <color indexed="81"/>
            <rFont val="Tahoma"/>
            <family val="2"/>
            <charset val="238"/>
          </rPr>
          <t xml:space="preserve">
śr. własne</t>
        </r>
      </text>
    </comment>
    <comment ref="I97" authorId="0" shapeId="0" xr:uid="{8FB54A36-A804-492A-AC8F-ED67F42DE698}">
      <text>
        <r>
          <rPr>
            <b/>
            <sz val="9"/>
            <color indexed="81"/>
            <rFont val="Tahoma"/>
            <family val="2"/>
            <charset val="238"/>
          </rPr>
          <t>Renata Siedlecka:</t>
        </r>
        <r>
          <rPr>
            <sz val="9"/>
            <color indexed="81"/>
            <rFont val="Tahoma"/>
            <family val="2"/>
            <charset val="238"/>
          </rPr>
          <t xml:space="preserve">
FEdlaKiP</t>
        </r>
      </text>
    </comment>
    <comment ref="H137" authorId="0" shapeId="0" xr:uid="{2F9C7FF7-AFB4-4811-98E3-0846870D4E16}">
      <text>
        <r>
          <rPr>
            <b/>
            <sz val="9"/>
            <color indexed="81"/>
            <rFont val="Tahoma"/>
            <family val="2"/>
            <charset val="238"/>
          </rPr>
          <t>Renata Siedlecka:</t>
        </r>
        <r>
          <rPr>
            <sz val="9"/>
            <color indexed="81"/>
            <rFont val="Tahoma"/>
            <family val="2"/>
            <charset val="238"/>
          </rPr>
          <t xml:space="preserve">
Fund. Szwajc.</t>
        </r>
      </text>
    </comment>
    <comment ref="I137" authorId="0" shapeId="0" xr:uid="{8FED108F-05E3-4F2E-8DDB-01A1627F12DD}">
      <text>
        <r>
          <rPr>
            <b/>
            <sz val="9"/>
            <color indexed="81"/>
            <rFont val="Tahoma"/>
            <family val="2"/>
            <charset val="238"/>
          </rPr>
          <t>Renata Siedlecka:</t>
        </r>
        <r>
          <rPr>
            <sz val="9"/>
            <color indexed="81"/>
            <rFont val="Tahoma"/>
            <family val="2"/>
            <charset val="238"/>
          </rPr>
          <t xml:space="preserve">
Fund. Szwajc.</t>
        </r>
      </text>
    </comment>
    <comment ref="J137" authorId="0" shapeId="0" xr:uid="{85298D58-DC2F-435D-AD6F-EFA0A3D5753D}">
      <text>
        <r>
          <rPr>
            <b/>
            <sz val="9"/>
            <color indexed="81"/>
            <rFont val="Tahoma"/>
            <family val="2"/>
            <charset val="238"/>
          </rPr>
          <t>Renata Siedlecka:</t>
        </r>
        <r>
          <rPr>
            <sz val="9"/>
            <color indexed="81"/>
            <rFont val="Tahoma"/>
            <family val="2"/>
            <charset val="238"/>
          </rPr>
          <t xml:space="preserve">
w tym dofi. 7.042.089,45 Fund. Szwajc.</t>
        </r>
      </text>
    </comment>
    <comment ref="H166" authorId="0" shapeId="0" xr:uid="{4F4F87C0-4339-4DB3-8A4D-280A430F3FEB}">
      <text>
        <r>
          <rPr>
            <b/>
            <sz val="9"/>
            <color indexed="81"/>
            <rFont val="Tahoma"/>
            <family val="2"/>
            <charset val="238"/>
          </rPr>
          <t>Renata Siedlecka:</t>
        </r>
        <r>
          <rPr>
            <sz val="9"/>
            <color indexed="81"/>
            <rFont val="Tahoma"/>
            <family val="2"/>
            <charset val="238"/>
          </rPr>
          <t xml:space="preserve">
NFOŚIGW</t>
        </r>
      </text>
    </comment>
    <comment ref="J166" authorId="0" shapeId="0" xr:uid="{C12FD6C8-A207-4362-A0B5-FBD8FADDB22F}">
      <text>
        <r>
          <rPr>
            <b/>
            <sz val="9"/>
            <color indexed="81"/>
            <rFont val="Tahoma"/>
            <family val="2"/>
            <charset val="238"/>
          </rPr>
          <t>Renata Siedlecka:</t>
        </r>
        <r>
          <rPr>
            <sz val="9"/>
            <color indexed="81"/>
            <rFont val="Tahoma"/>
            <family val="2"/>
            <charset val="238"/>
          </rPr>
          <t xml:space="preserve">
dofin. 1.365.300 NFOŚiGW</t>
        </r>
      </text>
    </comment>
    <comment ref="J175" authorId="0" shapeId="0" xr:uid="{51681B5E-2DF8-4797-A01C-47B3FCF3C572}">
      <text>
        <r>
          <rPr>
            <b/>
            <sz val="9"/>
            <color indexed="81"/>
            <rFont val="Tahoma"/>
            <family val="2"/>
            <charset val="238"/>
          </rPr>
          <t>Renata Siedlecka:</t>
        </r>
        <r>
          <rPr>
            <sz val="9"/>
            <color indexed="81"/>
            <rFont val="Tahoma"/>
            <family val="2"/>
            <charset val="238"/>
          </rPr>
          <t xml:space="preserve">
Fundusz. Szwajcar.
10.333.943,00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Renata Siedlecka</author>
  </authors>
  <commentList>
    <comment ref="J16" authorId="0" shapeId="0" xr:uid="{AC6EA612-9806-476D-B048-9B0F03C10859}">
      <text>
        <r>
          <rPr>
            <b/>
            <sz val="9"/>
            <color indexed="81"/>
            <rFont val="Tahoma"/>
            <family val="2"/>
            <charset val="238"/>
          </rPr>
          <t>Renata Siedlecka:</t>
        </r>
        <r>
          <rPr>
            <sz val="9"/>
            <color indexed="81"/>
            <rFont val="Tahoma"/>
            <family val="2"/>
            <charset val="238"/>
          </rPr>
          <t xml:space="preserve">
jednoroczne bieżące</t>
        </r>
      </text>
    </comment>
    <comment ref="J17" authorId="0" shapeId="0" xr:uid="{37ACB2B7-E34E-45E4-95F6-E24BE1FB7ACB}">
      <text>
        <r>
          <rPr>
            <b/>
            <sz val="9"/>
            <color indexed="81"/>
            <rFont val="Tahoma"/>
            <family val="2"/>
            <charset val="238"/>
          </rPr>
          <t>Renata Siedlecka:</t>
        </r>
        <r>
          <rPr>
            <sz val="9"/>
            <color indexed="81"/>
            <rFont val="Tahoma"/>
            <family val="2"/>
            <charset val="238"/>
          </rPr>
          <t xml:space="preserve">
jednoroczne majątkowe</t>
        </r>
      </text>
    </comment>
    <comment ref="B20" authorId="0" shapeId="0" xr:uid="{D5125768-8B56-4460-BBF6-C65C06C079C2}">
      <text>
        <r>
          <rPr>
            <b/>
            <sz val="9"/>
            <color indexed="81"/>
            <rFont val="Tahoma"/>
            <family val="2"/>
            <charset val="238"/>
          </rPr>
          <t>Renata Siedlecka:</t>
        </r>
        <r>
          <rPr>
            <sz val="9"/>
            <color indexed="81"/>
            <rFont val="Tahoma"/>
            <family val="2"/>
            <charset val="238"/>
          </rPr>
          <t xml:space="preserve">
Wydział DT</t>
        </r>
      </text>
    </comment>
    <comment ref="B24" authorId="0" shapeId="0" xr:uid="{A9593AE4-1894-4181-B848-0735729A687A}">
      <text>
        <r>
          <rPr>
            <b/>
            <sz val="9"/>
            <color indexed="81"/>
            <rFont val="Tahoma"/>
            <family val="2"/>
            <charset val="238"/>
          </rPr>
          <t>Renata Siedlecka:</t>
        </r>
        <r>
          <rPr>
            <sz val="9"/>
            <color indexed="81"/>
            <rFont val="Tahoma"/>
            <family val="2"/>
            <charset val="238"/>
          </rPr>
          <t xml:space="preserve">
MZDiZ</t>
        </r>
      </text>
    </comment>
    <comment ref="B43" authorId="0" shapeId="0" xr:uid="{5B88DE61-B351-4ECB-B872-3F5F3A8713C0}">
      <text>
        <r>
          <rPr>
            <b/>
            <sz val="9"/>
            <color indexed="81"/>
            <rFont val="Tahoma"/>
            <family val="2"/>
            <charset val="238"/>
          </rPr>
          <t>Renata Siedlecka:</t>
        </r>
        <r>
          <rPr>
            <sz val="9"/>
            <color indexed="81"/>
            <rFont val="Tahoma"/>
            <family val="2"/>
            <charset val="238"/>
          </rPr>
          <t xml:space="preserve">
licea</t>
        </r>
      </text>
    </comment>
    <comment ref="B47" authorId="0" shapeId="0" xr:uid="{A211CFB2-C975-4C85-8BF1-804531C62AC0}">
      <text>
        <r>
          <rPr>
            <b/>
            <sz val="9"/>
            <color indexed="81"/>
            <rFont val="Tahoma"/>
            <family val="2"/>
            <charset val="238"/>
          </rPr>
          <t>Renata Siedlecka:</t>
        </r>
        <r>
          <rPr>
            <sz val="9"/>
            <color indexed="81"/>
            <rFont val="Tahoma"/>
            <family val="2"/>
            <charset val="238"/>
          </rPr>
          <t xml:space="preserve">
licea</t>
        </r>
      </text>
    </comment>
    <comment ref="B52" authorId="0" shapeId="0" xr:uid="{850F7A53-7B91-4644-91E6-2220D6F80BB1}">
      <text>
        <r>
          <rPr>
            <b/>
            <sz val="9"/>
            <color indexed="81"/>
            <rFont val="Tahoma"/>
            <family val="2"/>
            <charset val="238"/>
          </rPr>
          <t>Renata Siedlecka:</t>
        </r>
        <r>
          <rPr>
            <sz val="9"/>
            <color indexed="81"/>
            <rFont val="Tahoma"/>
            <family val="2"/>
            <charset val="238"/>
          </rPr>
          <t xml:space="preserve">
Wydział Edukacji, Zdrowia i Polityki Społecznej;  zespoły szkół zawodowych; placówka oświatowa CKZiU</t>
        </r>
      </text>
    </comment>
    <comment ref="B56" authorId="0" shapeId="0" xr:uid="{453FB644-CC8A-4A03-BEFC-635A49682727}">
      <text>
        <r>
          <rPr>
            <b/>
            <sz val="9"/>
            <color indexed="81"/>
            <rFont val="Tahoma"/>
            <family val="2"/>
            <charset val="238"/>
          </rPr>
          <t>Renata Siedlecka:</t>
        </r>
        <r>
          <rPr>
            <sz val="9"/>
            <color indexed="81"/>
            <rFont val="Tahoma"/>
            <family val="2"/>
            <charset val="238"/>
          </rPr>
          <t xml:space="preserve">
Wydział Edukacji, Zdrowia i Polityki Społecznej</t>
        </r>
      </text>
    </comment>
    <comment ref="E77" authorId="0" shapeId="0" xr:uid="{DC401185-C87D-47A3-A932-97E30735445D}">
      <text>
        <r>
          <rPr>
            <b/>
            <sz val="9"/>
            <color indexed="81"/>
            <rFont val="Tahoma"/>
            <family val="2"/>
            <charset val="238"/>
          </rPr>
          <t>Renata Siedlecka:</t>
        </r>
        <r>
          <rPr>
            <sz val="9"/>
            <color indexed="81"/>
            <rFont val="Tahoma"/>
            <family val="2"/>
            <charset val="238"/>
          </rPr>
          <t xml:space="preserve">
BP 143.600,90
wkład własny 73.800,00</t>
        </r>
      </text>
    </comment>
    <comment ref="H77" authorId="0" shapeId="0" xr:uid="{1228EAC4-A801-4533-8C01-8E774567389A}">
      <text>
        <r>
          <rPr>
            <b/>
            <sz val="9"/>
            <color indexed="81"/>
            <rFont val="Tahoma"/>
            <family val="2"/>
            <charset val="238"/>
          </rPr>
          <t>Renata Siedlecka:</t>
        </r>
        <r>
          <rPr>
            <sz val="9"/>
            <color indexed="81"/>
            <rFont val="Tahoma"/>
            <family val="2"/>
            <charset val="238"/>
          </rPr>
          <t xml:space="preserve">
wkład własny 60.000,00 zł</t>
        </r>
      </text>
    </comment>
    <comment ref="B105" authorId="0" shapeId="0" xr:uid="{E17AEAC1-DCBD-4F71-B179-B9AC213A591D}">
      <text>
        <r>
          <rPr>
            <b/>
            <sz val="9"/>
            <color indexed="81"/>
            <rFont val="Tahoma"/>
            <family val="2"/>
            <charset val="238"/>
          </rPr>
          <t>Renata Siedlecka:</t>
        </r>
        <r>
          <rPr>
            <sz val="9"/>
            <color indexed="81"/>
            <rFont val="Tahoma"/>
            <family val="2"/>
            <charset val="238"/>
          </rPr>
          <t xml:space="preserve">
Wydział Edukacji, Zdrowia i Polityki Społecznej</t>
        </r>
      </text>
    </comment>
    <comment ref="B109" authorId="0" shapeId="0" xr:uid="{F4F8006D-8F49-43B2-981D-FD08B541A5A4}">
      <text>
        <r>
          <rPr>
            <b/>
            <sz val="9"/>
            <color indexed="81"/>
            <rFont val="Tahoma"/>
            <family val="2"/>
            <charset val="238"/>
          </rPr>
          <t>Renata Siedlecka:</t>
        </r>
        <r>
          <rPr>
            <sz val="9"/>
            <color indexed="81"/>
            <rFont val="Tahoma"/>
            <family val="2"/>
            <charset val="238"/>
          </rPr>
          <t xml:space="preserve">
Wydział Edukacji, Zdrowia i Polityki Społecznej</t>
        </r>
      </text>
    </comment>
    <comment ref="B113" authorId="0" shapeId="0" xr:uid="{14FCF0F7-BDBD-4C39-860B-D31A8005E800}">
      <text>
        <r>
          <rPr>
            <b/>
            <sz val="9"/>
            <color indexed="81"/>
            <rFont val="Tahoma"/>
            <family val="2"/>
            <charset val="238"/>
          </rPr>
          <t>Renata Siedlecka:</t>
        </r>
        <r>
          <rPr>
            <sz val="9"/>
            <color indexed="81"/>
            <rFont val="Tahoma"/>
            <family val="2"/>
            <charset val="238"/>
          </rPr>
          <t xml:space="preserve">
Wydział GMK</t>
        </r>
      </text>
    </comment>
    <comment ref="B118" authorId="0" shapeId="0" xr:uid="{AD2E8B54-5D2E-4C45-A873-FB3702AC4C85}">
      <text>
        <r>
          <rPr>
            <b/>
            <sz val="9"/>
            <color indexed="81"/>
            <rFont val="Tahoma"/>
            <family val="2"/>
            <charset val="238"/>
          </rPr>
          <t>Renata Siedlecka:</t>
        </r>
        <r>
          <rPr>
            <sz val="9"/>
            <color indexed="81"/>
            <rFont val="Tahoma"/>
            <family val="2"/>
            <charset val="238"/>
          </rPr>
          <t xml:space="preserve">
Wydział Informatyki</t>
        </r>
      </text>
    </comment>
    <comment ref="B123" authorId="0" shapeId="0" xr:uid="{7C2543D7-4CD9-4014-A105-33CFC4395F32}">
      <text>
        <r>
          <rPr>
            <b/>
            <sz val="9"/>
            <color indexed="81"/>
            <rFont val="Tahoma"/>
            <family val="2"/>
            <charset val="238"/>
          </rPr>
          <t>Renata Siedlecka:</t>
        </r>
        <r>
          <rPr>
            <sz val="9"/>
            <color indexed="81"/>
            <rFont val="Tahoma"/>
            <family val="2"/>
            <charset val="238"/>
          </rPr>
          <t xml:space="preserve">
Wydział DT</t>
        </r>
      </text>
    </comment>
    <comment ref="B127" authorId="0" shapeId="0" xr:uid="{A16EFB09-8441-48C0-A3B5-B705F137ACF6}">
      <text>
        <r>
          <rPr>
            <b/>
            <sz val="9"/>
            <color indexed="81"/>
            <rFont val="Tahoma"/>
            <family val="2"/>
            <charset val="238"/>
          </rPr>
          <t>Renata Siedlecka:</t>
        </r>
        <r>
          <rPr>
            <sz val="9"/>
            <color indexed="81"/>
            <rFont val="Tahoma"/>
            <family val="2"/>
            <charset val="238"/>
          </rPr>
          <t xml:space="preserve">
Wydział IZ</t>
        </r>
      </text>
    </comment>
    <comment ref="B131" authorId="0" shapeId="0" xr:uid="{A6797B90-7078-41AD-B43D-462268C1CCAF}">
      <text>
        <r>
          <rPr>
            <b/>
            <sz val="9"/>
            <color indexed="81"/>
            <rFont val="Tahoma"/>
            <family val="2"/>
            <charset val="238"/>
          </rPr>
          <t>Renata Siedlecka:</t>
        </r>
        <r>
          <rPr>
            <sz val="9"/>
            <color indexed="81"/>
            <rFont val="Tahoma"/>
            <family val="2"/>
            <charset val="238"/>
          </rPr>
          <t xml:space="preserve">
Wydział IZ</t>
        </r>
      </text>
    </comment>
    <comment ref="B135" authorId="0" shapeId="0" xr:uid="{8982D60C-80CA-4BC0-9821-E834FB3FC847}">
      <text>
        <r>
          <rPr>
            <b/>
            <sz val="9"/>
            <color indexed="81"/>
            <rFont val="Tahoma"/>
            <family val="2"/>
            <charset val="238"/>
          </rPr>
          <t>Renata Siedlecka:</t>
        </r>
        <r>
          <rPr>
            <sz val="9"/>
            <color indexed="81"/>
            <rFont val="Tahoma"/>
            <family val="2"/>
            <charset val="238"/>
          </rPr>
          <t xml:space="preserve">
Wydział IZ</t>
        </r>
      </text>
    </comment>
    <comment ref="B138" authorId="0" shapeId="0" xr:uid="{26E1F671-ED03-42BB-8826-29C56BAAC05B}">
      <text>
        <r>
          <rPr>
            <b/>
            <sz val="9"/>
            <color indexed="81"/>
            <rFont val="Tahoma"/>
            <family val="2"/>
            <charset val="238"/>
          </rPr>
          <t>Renata Siedlecka:</t>
        </r>
        <r>
          <rPr>
            <sz val="9"/>
            <color indexed="81"/>
            <rFont val="Tahoma"/>
            <family val="2"/>
            <charset val="238"/>
          </rPr>
          <t xml:space="preserve">
FENIKS</t>
        </r>
      </text>
    </comment>
  </commentList>
</comments>
</file>

<file path=xl/sharedStrings.xml><?xml version="1.0" encoding="utf-8"?>
<sst xmlns="http://schemas.openxmlformats.org/spreadsheetml/2006/main" count="3132" uniqueCount="1333">
  <si>
    <t>ZESTAWIENIE DOCHODÓW I WYDATKÓW  BUDŻETU MIASTA WŁOCŁAWEK - plan na 2026 rok</t>
  </si>
  <si>
    <t>(według działów)</t>
  </si>
  <si>
    <t>w złotych</t>
  </si>
  <si>
    <t>D o c h o d y</t>
  </si>
  <si>
    <t>W y d a t k i</t>
  </si>
  <si>
    <t>Struktura</t>
  </si>
  <si>
    <t>Dz.</t>
  </si>
  <si>
    <t>T R E Ś Ć</t>
  </si>
  <si>
    <t>projektu</t>
  </si>
  <si>
    <t>OGÓŁEM</t>
  </si>
  <si>
    <t>dochodów</t>
  </si>
  <si>
    <t>BIEŻĄCE</t>
  </si>
  <si>
    <t>MAJĄTKOWE</t>
  </si>
  <si>
    <t>wydatków</t>
  </si>
  <si>
    <t>ogółem</t>
  </si>
  <si>
    <t>bieżących</t>
  </si>
  <si>
    <t>majątkowych</t>
  </si>
  <si>
    <t>010</t>
  </si>
  <si>
    <t>Rolnictwo i łowiectwo</t>
  </si>
  <si>
    <t>020</t>
  </si>
  <si>
    <t>Leśnictwo</t>
  </si>
  <si>
    <t>400</t>
  </si>
  <si>
    <t xml:space="preserve">Wytwarzanie i zaopatrzenie w energię elektryczną </t>
  </si>
  <si>
    <t xml:space="preserve">gaz i wodę </t>
  </si>
  <si>
    <t>600</t>
  </si>
  <si>
    <t>Transport i łączność</t>
  </si>
  <si>
    <t>630</t>
  </si>
  <si>
    <t>Turystyka</t>
  </si>
  <si>
    <t>700</t>
  </si>
  <si>
    <t>Gospodarka mieszkaniowa</t>
  </si>
  <si>
    <t>710</t>
  </si>
  <si>
    <t>Działalność usługowa</t>
  </si>
  <si>
    <t>750</t>
  </si>
  <si>
    <t>Administracja publiczna</t>
  </si>
  <si>
    <t>751</t>
  </si>
  <si>
    <t>Urzędy naczelnych organów władzy państwowej,</t>
  </si>
  <si>
    <t>kontroli i ochrony prawa oraz sądownictwa</t>
  </si>
  <si>
    <t>752</t>
  </si>
  <si>
    <t>Obrona narodowa</t>
  </si>
  <si>
    <t>754</t>
  </si>
  <si>
    <t xml:space="preserve">Bezpieczeństwo publiczne i ochrona </t>
  </si>
  <si>
    <t>przeciwpożarowa</t>
  </si>
  <si>
    <t>755</t>
  </si>
  <si>
    <t>Wymiar sprawiedliwości</t>
  </si>
  <si>
    <t>756</t>
  </si>
  <si>
    <t>Dochody podatkowe</t>
  </si>
  <si>
    <t>757</t>
  </si>
  <si>
    <t>Obsługa długu publicznego</t>
  </si>
  <si>
    <t>758</t>
  </si>
  <si>
    <t>Różne rozliczenia</t>
  </si>
  <si>
    <t>801</t>
  </si>
  <si>
    <t>Oświata i wychowanie</t>
  </si>
  <si>
    <t>851</t>
  </si>
  <si>
    <t>Ochrona zdrowia</t>
  </si>
  <si>
    <t>852</t>
  </si>
  <si>
    <t>Pomoc społeczna</t>
  </si>
  <si>
    <t>853</t>
  </si>
  <si>
    <t>Pozostałe zadania w zakresie polityki społecznej</t>
  </si>
  <si>
    <t>854</t>
  </si>
  <si>
    <t>Edukacyjna opieka wychowawcza</t>
  </si>
  <si>
    <t>855</t>
  </si>
  <si>
    <t>Rodzina</t>
  </si>
  <si>
    <t>900</t>
  </si>
  <si>
    <t>Gospodarka komunalna i ochrona środowiska</t>
  </si>
  <si>
    <t>921</t>
  </si>
  <si>
    <t>Kultura i ochrona dziedzictwa narodowego</t>
  </si>
  <si>
    <t>926</t>
  </si>
  <si>
    <t xml:space="preserve">Kultura fizyczna </t>
  </si>
  <si>
    <t>Razem:</t>
  </si>
  <si>
    <t xml:space="preserve">Zadania własne </t>
  </si>
  <si>
    <t>Wytwarzanie i zaopatrzenie w energię elek.</t>
  </si>
  <si>
    <t xml:space="preserve">Turystyka </t>
  </si>
  <si>
    <t xml:space="preserve"> przeciwpożarowa</t>
  </si>
  <si>
    <t>Pozostałe zadania w zakresie polityki</t>
  </si>
  <si>
    <t>społecznej</t>
  </si>
  <si>
    <t xml:space="preserve">Gospodarka komunalna i ochrona </t>
  </si>
  <si>
    <t xml:space="preserve"> środowiska</t>
  </si>
  <si>
    <t>Zadania zlecone:</t>
  </si>
  <si>
    <t>Zadania rządowe:</t>
  </si>
  <si>
    <t>Załącznik Nr 1</t>
  </si>
  <si>
    <t>do UCHWAŁY NR XXVII/137/2025</t>
  </si>
  <si>
    <t>RADY MIASTA WŁOCŁAWEK</t>
  </si>
  <si>
    <t>z dnia 16 grudnia 2025 r.</t>
  </si>
  <si>
    <t>Dochody budżetu miasta Włocławek na 2026 rok</t>
  </si>
  <si>
    <t xml:space="preserve">BIEŻĄCE </t>
  </si>
  <si>
    <t>w tym</t>
  </si>
  <si>
    <t>Rozdz.</t>
  </si>
  <si>
    <t>środki wymienione w art.5 ust.1 pkt 2 i 3 u.f.p</t>
  </si>
  <si>
    <t>dotacje i środki przeznaczone na inwestycje</t>
  </si>
  <si>
    <t>dochody ze sprzedaży majątku</t>
  </si>
  <si>
    <t>dochody z tytułu przekształcenia prawa użytkowania wieczystego w prawo własności</t>
  </si>
  <si>
    <t>§</t>
  </si>
  <si>
    <t>ŹRÓDŁO DOCHODÓW</t>
  </si>
  <si>
    <t>Dochody ogółem na 2026 rok</t>
  </si>
  <si>
    <t>Dochody na zadania własne gminy:</t>
  </si>
  <si>
    <t>01095</t>
  </si>
  <si>
    <t>Pozostała działalność</t>
  </si>
  <si>
    <t>0690</t>
  </si>
  <si>
    <t>wpływy z różnych opłat</t>
  </si>
  <si>
    <t>0750</t>
  </si>
  <si>
    <t xml:space="preserve">wpływy z najmu i dzierżawy składników majątkowych Skarbu </t>
  </si>
  <si>
    <t>Państwa, jednostek samorządu terytorialnego lub innych jednostek,</t>
  </si>
  <si>
    <t xml:space="preserve">zaliczanych do sektora finansów publicznych oraz innych umów </t>
  </si>
  <si>
    <t xml:space="preserve">o podobnym charakterze  </t>
  </si>
  <si>
    <t>02001</t>
  </si>
  <si>
    <t>Gospodarka Leśna</t>
  </si>
  <si>
    <t>0870</t>
  </si>
  <si>
    <t>wpływy ze sprzedaży składników majątkowych</t>
  </si>
  <si>
    <t>60004</t>
  </si>
  <si>
    <t>Lokalny transport zbiorowy</t>
  </si>
  <si>
    <t>0610</t>
  </si>
  <si>
    <t xml:space="preserve">wpływy z opłat egzaminacyjnych oraz opłat za wydawanie </t>
  </si>
  <si>
    <t>świadectw, dyplomów, zaświadczeń, certyfikatów i ich duplikatów</t>
  </si>
  <si>
    <t>0830</t>
  </si>
  <si>
    <t>wpływy z usług</t>
  </si>
  <si>
    <t>0920</t>
  </si>
  <si>
    <t>wpływy z pozostałych odsetek</t>
  </si>
  <si>
    <t>0940</t>
  </si>
  <si>
    <t>wpływy z rozliczeń/zwrotów z lat ubiegłych</t>
  </si>
  <si>
    <t>0950</t>
  </si>
  <si>
    <t>wpływy z tytułu kar i odszkodowań wynikających z umów</t>
  </si>
  <si>
    <t>0970</t>
  </si>
  <si>
    <t>wpływy z różnych dochodów</t>
  </si>
  <si>
    <t>2058</t>
  </si>
  <si>
    <t xml:space="preserve">dotacja celowa w ramach programów finanowanych z udziałem środków europejskich oraz środków, o których mowa w art. 5 ust. 3 pkt 5 lit. a i b ustawy, lub płatności w ramach budżetu środków europejskich, realizowanych przez jednostki samorządu terytorialnego   </t>
  </si>
  <si>
    <t>6206</t>
  </si>
  <si>
    <t>dotacja celowa w ramach programów finansowanych z udziałem</t>
  </si>
  <si>
    <t>środków europejskich oraz środków, o których mowa w art. 5 ust. 1</t>
  </si>
  <si>
    <t>pkt 3 oraz ust. 3 pkt. 5 i 6 ustawy, lub płatności w ramach</t>
  </si>
  <si>
    <t xml:space="preserve">budżetu  środków europejskich, z  wyłączeniem </t>
  </si>
  <si>
    <t>dochodów klasyfikowanych w paragrafie 625</t>
  </si>
  <si>
    <t>6207</t>
  </si>
  <si>
    <t>6257</t>
  </si>
  <si>
    <t xml:space="preserve">dotacja celowa w ramach programów finansowanych z udziałem </t>
  </si>
  <si>
    <t xml:space="preserve">środków europejskich oraz środków, o którym mowa w art. 5 </t>
  </si>
  <si>
    <t>ust. 3 pkt 5 lit. a i b ustawy, lub płatności w ramach budżetu</t>
  </si>
  <si>
    <t xml:space="preserve">środków europejskich, realizowanych przez jednostki </t>
  </si>
  <si>
    <t xml:space="preserve">samorządu terytorialnego </t>
  </si>
  <si>
    <t>6258</t>
  </si>
  <si>
    <t xml:space="preserve">dotacje celowe w ramach programów finansowanych </t>
  </si>
  <si>
    <t xml:space="preserve">z udziałem środków europejskich oraz środków, o których </t>
  </si>
  <si>
    <t xml:space="preserve">mowa w art. 5 ust. 3  pkt 5 lit. a i b ustawy, lub płatności </t>
  </si>
  <si>
    <t>w ramach budżetu środków europejskich, realizowanych</t>
  </si>
  <si>
    <t>przez jednostki samorządu terytorialnego</t>
  </si>
  <si>
    <t>60016</t>
  </si>
  <si>
    <t>Drogi publiczne gminne</t>
  </si>
  <si>
    <t>0580</t>
  </si>
  <si>
    <t xml:space="preserve">wpływy z tytułu grzywien, i innych kary pieniężnych od osób </t>
  </si>
  <si>
    <t>prawnych i innych jednostek organizacyjnych</t>
  </si>
  <si>
    <t>0620</t>
  </si>
  <si>
    <t xml:space="preserve">wpływy z opłat za zezwolenia, akredytacje oraz opłaty </t>
  </si>
  <si>
    <t>ewidencyjne, w tym opłaty za częstotliwości</t>
  </si>
  <si>
    <t>0640</t>
  </si>
  <si>
    <t xml:space="preserve">wpływy z tytułu kosztów egzekucyjnych, opłaty komorniczej i </t>
  </si>
  <si>
    <t>kosztów upomnień</t>
  </si>
  <si>
    <t>2700</t>
  </si>
  <si>
    <t>środki na dofinansowanie własnych zadań bieżących gmin, powiatów ( związków gmin, związków powiatowo - gminnych, związków powiatów), samorządów województw, pozyskane z innych źródeł</t>
  </si>
  <si>
    <t xml:space="preserve">dotacja celowa w ramach programów finansowanych z udziałem środków europejskich oraz środków, o których mowa w art. 5 ust. 3 pkt 5 lit. a i b, ustawy, lub płatności w ramah budżetu środków europejskich, realizowanych przez jednostki samorządu terytorialnego </t>
  </si>
  <si>
    <t>6290</t>
  </si>
  <si>
    <t>środki na dofinnsowanie własnych inwestycji gmin, powiatów</t>
  </si>
  <si>
    <t xml:space="preserve">(związków gmin, związków powiatowo-gminnych, związków </t>
  </si>
  <si>
    <t xml:space="preserve">powiatów), samorządów województw, pozyskane z innych </t>
  </si>
  <si>
    <t xml:space="preserve">źródeł </t>
  </si>
  <si>
    <t>60017</t>
  </si>
  <si>
    <t>Drogi wewnętrzne</t>
  </si>
  <si>
    <t>60019</t>
  </si>
  <si>
    <t>Płatne parkowanie</t>
  </si>
  <si>
    <t>0490</t>
  </si>
  <si>
    <t>wpływy z innych lokalnych opłat pobieranych przez jednostki</t>
  </si>
  <si>
    <t>samorządu terytorialnego na podstawie odrębnych ustaw</t>
  </si>
  <si>
    <t>60095</t>
  </si>
  <si>
    <t>Zadania  w zakresie upowszechniania turystyki</t>
  </si>
  <si>
    <t>wpływy z najmu i dzierżawy składników majątkowych</t>
  </si>
  <si>
    <t>Skarbu Państwa, jednostek samorządu terytorialnego</t>
  </si>
  <si>
    <t>lub innych jednostek zaliczanych do sektora finansów</t>
  </si>
  <si>
    <t>publicznych oraz innych umów o podobnym charakterze</t>
  </si>
  <si>
    <t xml:space="preserve">Gospodarka mieszkaniowa </t>
  </si>
  <si>
    <t>Gospodarka gruntami i nieruchomościami</t>
  </si>
  <si>
    <t>0470</t>
  </si>
  <si>
    <t>wpływy z opłat za trwały zarząd, użytkowanie</t>
  </si>
  <si>
    <t xml:space="preserve"> i służebności</t>
  </si>
  <si>
    <t>0550</t>
  </si>
  <si>
    <t>wpływy z opłat z tytułu użytkowania wieczystego</t>
  </si>
  <si>
    <t>nieruchomości</t>
  </si>
  <si>
    <t>0760</t>
  </si>
  <si>
    <t>wpływy z tytułu przekształcenia prawa użytkowania</t>
  </si>
  <si>
    <t>wieczystego w prawo własności</t>
  </si>
  <si>
    <t>0770</t>
  </si>
  <si>
    <t>wpłaty z tytułu odpłatnego nabycia prawa własności</t>
  </si>
  <si>
    <t xml:space="preserve">oraz prawa użytkowania wieczystego nieruchomości </t>
  </si>
  <si>
    <t>2360</t>
  </si>
  <si>
    <t>dochody jednostek samorządu terytorialnego związane</t>
  </si>
  <si>
    <t xml:space="preserve">z realizacją zadań z zakresu administracji rządowej </t>
  </si>
  <si>
    <t>oraz innych zadań zleconych ustawami</t>
  </si>
  <si>
    <t>70007</t>
  </si>
  <si>
    <t>Gospodarowanie mieszkaniowym zasobem gminy</t>
  </si>
  <si>
    <t>0630</t>
  </si>
  <si>
    <t>wpływy z tytułu opłat i kosztów sądowych oraz innych opłat</t>
  </si>
  <si>
    <t>uiszczanych na rzecz Skarbu Państwa z tytułu postępowania</t>
  </si>
  <si>
    <t xml:space="preserve">sądowego i prokuratorskiego </t>
  </si>
  <si>
    <t>2057</t>
  </si>
  <si>
    <t>dotacja celowa w ramach programów finansowanych z udziałem środków europejskich oraz środków, o których mowa w art. 5 ust. 3 pkt 5 lit. a i b ustawy, lub płatności w ramach budżetu środków europejskich, realizowanych przez jednostki samorządu terytorialnego</t>
  </si>
  <si>
    <t>2059</t>
  </si>
  <si>
    <t>6280</t>
  </si>
  <si>
    <t xml:space="preserve">środki otrzymane od pozostałych jednostek zaliczanych </t>
  </si>
  <si>
    <t xml:space="preserve">do sektora finansów publicznych na finansowanie lub </t>
  </si>
  <si>
    <t xml:space="preserve">dofinansowanie kosztów realizacji inwestycji i zakupów </t>
  </si>
  <si>
    <t>inwestycyjnych zaliczanych do sektora finansów publicznych</t>
  </si>
  <si>
    <t>6287</t>
  </si>
  <si>
    <t>środki otrzymane od pozostałych jednostek zaliczanych do sektora finansów publicznych na finansowanie lub dofinansowanie kosztów realizacji inwestycji i zakupów inwestycyjnych jednostek zaliczanych do sektora finansów publicznych</t>
  </si>
  <si>
    <t>6289</t>
  </si>
  <si>
    <t>70021</t>
  </si>
  <si>
    <t xml:space="preserve">Społeczne inicjatywy mieszkaniowe </t>
  </si>
  <si>
    <t xml:space="preserve">mowa w art. 5 ust. 3  pkt 5 lit. a i b ustawy lub płatności </t>
  </si>
  <si>
    <t>70095</t>
  </si>
  <si>
    <t>6288</t>
  </si>
  <si>
    <t>71015</t>
  </si>
  <si>
    <t>Nadzór budowlany</t>
  </si>
  <si>
    <t>71035</t>
  </si>
  <si>
    <t>Cmentarze</t>
  </si>
  <si>
    <t>2020</t>
  </si>
  <si>
    <t xml:space="preserve">dotacje celowe otrzymane z budżetu państwa na </t>
  </si>
  <si>
    <t xml:space="preserve">zadania bieżące realizowane przez gminę na podstawie </t>
  </si>
  <si>
    <t>porozumień z organami administracji rządowej</t>
  </si>
  <si>
    <t>75011</t>
  </si>
  <si>
    <t>Urzędy wojewódzkie</t>
  </si>
  <si>
    <t>z realizacją zadań z zakresu administracji rządowej</t>
  </si>
  <si>
    <t>75023</t>
  </si>
  <si>
    <t>Urzędy gmin (miast i miast na prawach powiatu)</t>
  </si>
  <si>
    <t>2007</t>
  </si>
  <si>
    <t>dotacja celowa w ramach programów finansowanych</t>
  </si>
  <si>
    <t>europejskich oraz środków , o których mowa w art. 5 ust. 1</t>
  </si>
  <si>
    <t xml:space="preserve"> pkt 3 oraz ust. 3 pkt. 5 i 6 ustawy, lub płatności w ramach</t>
  </si>
  <si>
    <t xml:space="preserve"> dochodów klasyfikowanych w paragrafie 205</t>
  </si>
  <si>
    <t>2009</t>
  </si>
  <si>
    <t>6209</t>
  </si>
  <si>
    <t>75085</t>
  </si>
  <si>
    <t xml:space="preserve">Wspólna obsługa jednostek samorządu terytorialnego </t>
  </si>
  <si>
    <t xml:space="preserve">wpływy z różnych dochodów </t>
  </si>
  <si>
    <t>75095</t>
  </si>
  <si>
    <t xml:space="preserve">dotacje celowe w ramach programów finansowych z udziałem </t>
  </si>
  <si>
    <t xml:space="preserve">ust.3 pkt 5 lit. a i b ustawy, lub płatności w ramach budżetu </t>
  </si>
  <si>
    <t>w ramach budźetu środków europejskich realizowanych</t>
  </si>
  <si>
    <t xml:space="preserve"> przez jednostki samorządu terytorialnego</t>
  </si>
  <si>
    <t>Bezpieczeństwo publiczne i ochrona</t>
  </si>
  <si>
    <t>75416</t>
  </si>
  <si>
    <t>Straż gminna (miejska)</t>
  </si>
  <si>
    <t>0570</t>
  </si>
  <si>
    <t>wpływy z tytułu grzywien, mandatów i innych kar</t>
  </si>
  <si>
    <t>pieniężnych osób fizycznych</t>
  </si>
  <si>
    <t>Dochody od osób prawnych, od osób fizycznych</t>
  </si>
  <si>
    <t>i od innych jednostek nie posiadających osobowości</t>
  </si>
  <si>
    <t>prawnej oraz wydatki związane z ich poborem</t>
  </si>
  <si>
    <t>75601</t>
  </si>
  <si>
    <t>Wpływy z podatku dochodowego od osób fizycznych</t>
  </si>
  <si>
    <t>0350</t>
  </si>
  <si>
    <t xml:space="preserve">wpływy z podatku od działalności gospodarczej osób </t>
  </si>
  <si>
    <t>fizycznych, opłacanego w formie karty podatkowej</t>
  </si>
  <si>
    <t>75615</t>
  </si>
  <si>
    <t>Wpływy z podatku rolnego, podatku leśnego, podatku od</t>
  </si>
  <si>
    <t>czynności cywilnoprawnych, podatków i opłat lokalnych</t>
  </si>
  <si>
    <t>od osób prawnych i innych jednostek organizacyjnych</t>
  </si>
  <si>
    <t>0310</t>
  </si>
  <si>
    <t>wpływy z podatku od nieruchomości</t>
  </si>
  <si>
    <t>0320</t>
  </si>
  <si>
    <t>wpływy podatku rolnego</t>
  </si>
  <si>
    <t>0330</t>
  </si>
  <si>
    <t>wpływy z podatku leśnego</t>
  </si>
  <si>
    <t>0340</t>
  </si>
  <si>
    <t>wpływy z podatku od środków transportowych</t>
  </si>
  <si>
    <t>0500</t>
  </si>
  <si>
    <t xml:space="preserve">wpływy z podatku od czynności cywilnoprawnych </t>
  </si>
  <si>
    <t>0910</t>
  </si>
  <si>
    <t>wpływy z odsetek od nieternimowych wpłat z tytułu podatków i opłat</t>
  </si>
  <si>
    <t>75616</t>
  </si>
  <si>
    <t xml:space="preserve">Wpływy z podatku rolnego, podatku leśnego, podatku </t>
  </si>
  <si>
    <t>od spadków  i darowizn, podatku od czynności</t>
  </si>
  <si>
    <t>cywilnoprawnych oraz podatków i opłat lokalnych</t>
  </si>
  <si>
    <t>od osób fizycznych</t>
  </si>
  <si>
    <t>0360</t>
  </si>
  <si>
    <t xml:space="preserve">wpływy z podatku od spadków i darowizn </t>
  </si>
  <si>
    <t>0370</t>
  </si>
  <si>
    <t>wpływy z opłaty od posiadania psów</t>
  </si>
  <si>
    <t>75618</t>
  </si>
  <si>
    <t>Wpływy z innych opłat stanowiących dochody</t>
  </si>
  <si>
    <t>jednostek samorządu terytorialnego na podstawie</t>
  </si>
  <si>
    <t>ustaw</t>
  </si>
  <si>
    <t>0270</t>
  </si>
  <si>
    <t>wpływy z części opłaty za zezwolenie na sprzedaż napojów</t>
  </si>
  <si>
    <t xml:space="preserve">alkoholowych w obrocie hurtowym </t>
  </si>
  <si>
    <t>0410</t>
  </si>
  <si>
    <t>wpływy z opłaty skarbowej</t>
  </si>
  <si>
    <t>0420</t>
  </si>
  <si>
    <t>wpływy z opłaty komunikacyjnej</t>
  </si>
  <si>
    <t>0480</t>
  </si>
  <si>
    <t>wpływy z opłat za zez. na sprzedaż napojów alkoholowych</t>
  </si>
  <si>
    <t>0590</t>
  </si>
  <si>
    <t>wpływy z opłat za koncesje i licencje</t>
  </si>
  <si>
    <t>0650</t>
  </si>
  <si>
    <t>wpływy z opłat za wydanie prawa jazdy</t>
  </si>
  <si>
    <t>75640</t>
  </si>
  <si>
    <t xml:space="preserve">Udziały miast na prawach powiatu w podatkach stanowiących dochód budżetu państwa </t>
  </si>
  <si>
    <t>0010</t>
  </si>
  <si>
    <t xml:space="preserve">wpływy z podatku dochodowego od osób fizycznych  </t>
  </si>
  <si>
    <t>0020</t>
  </si>
  <si>
    <t xml:space="preserve">wpływy z podatku dochodowego od osób prawnych </t>
  </si>
  <si>
    <t>75814</t>
  </si>
  <si>
    <t>Różne rozliczenia finansowe</t>
  </si>
  <si>
    <t>75834</t>
  </si>
  <si>
    <t xml:space="preserve">Subwencja ogólna dla jednostki samorządu terytorialnego </t>
  </si>
  <si>
    <t>2920</t>
  </si>
  <si>
    <t>subwencje ogólne z budżetu państwa</t>
  </si>
  <si>
    <t>80101</t>
  </si>
  <si>
    <t>Szkoły podstawowe</t>
  </si>
  <si>
    <t>80104</t>
  </si>
  <si>
    <t>Przedszkola</t>
  </si>
  <si>
    <t>0660</t>
  </si>
  <si>
    <t>wpływy z opłat za korzystanie z wychowania przedszkolnego</t>
  </si>
  <si>
    <t>80195</t>
  </si>
  <si>
    <t>z udziałem środków europejskich oraz środków, o których</t>
  </si>
  <si>
    <t>mowa w art.5 ust.3 pkt 5 oraz ust.3 pkt 5 lit. a i b ustawy,</t>
  </si>
  <si>
    <t>lub płatności w ramach budżetu środków europejskich,</t>
  </si>
  <si>
    <t>realizowanych przez jednostki samorządu terytorialnego</t>
  </si>
  <si>
    <t xml:space="preserve">Ochrona zdrowia </t>
  </si>
  <si>
    <t>85154</t>
  </si>
  <si>
    <t>Przeciwdziałanie alkoholizmowi</t>
  </si>
  <si>
    <t xml:space="preserve">wpływy z tytułu kar i odszkodowań wynikających z umów </t>
  </si>
  <si>
    <t>85202</t>
  </si>
  <si>
    <t>Domy pomocy społecznej</t>
  </si>
  <si>
    <t>0960</t>
  </si>
  <si>
    <t>wpływy z otrzymanych spadków, zapisów i darowizn</t>
  </si>
  <si>
    <t>w postaci pieniężnej</t>
  </si>
  <si>
    <t>2130</t>
  </si>
  <si>
    <t>realizację bieżących zadań własnych powiatu</t>
  </si>
  <si>
    <t>85203</t>
  </si>
  <si>
    <t>Ośrodki wsparcia</t>
  </si>
  <si>
    <t xml:space="preserve">dotacja celowa otrzymana z budżetu na realizację bieżących </t>
  </si>
  <si>
    <t xml:space="preserve">zadań własnych powiatu </t>
  </si>
  <si>
    <t>85205</t>
  </si>
  <si>
    <t>Zadania w zakresie przeciwdziałania przemocy domowej</t>
  </si>
  <si>
    <t>2030</t>
  </si>
  <si>
    <t>dotacje celowe otrzymane z budżetu państwa na realizację</t>
  </si>
  <si>
    <t>własnych zadań bieżących gmin (związków gmin, związków</t>
  </si>
  <si>
    <t>powiatowo-gminnych)</t>
  </si>
  <si>
    <t>85213</t>
  </si>
  <si>
    <t>Składki na ubezpieczenie zdrowotne opłacane za osoby</t>
  </si>
  <si>
    <t>pobierające niektóre świadczenia z pomocy społecznej</t>
  </si>
  <si>
    <t>oraz za osoby uczestniczące w zajęciach w centrum integracji</t>
  </si>
  <si>
    <t xml:space="preserve"> społecznej</t>
  </si>
  <si>
    <t>85214</t>
  </si>
  <si>
    <t xml:space="preserve">Zasiłki okresowe, celowe i pomoc w naturze oraz składki na </t>
  </si>
  <si>
    <t>ubezpieczenia emerytalne i rentowe</t>
  </si>
  <si>
    <t>85215</t>
  </si>
  <si>
    <t>Dodatki mieszkaniowe</t>
  </si>
  <si>
    <t>85216</t>
  </si>
  <si>
    <t>Zasiłki stałe</t>
  </si>
  <si>
    <t>85219</t>
  </si>
  <si>
    <t>Ośrodki pomocy społecznej</t>
  </si>
  <si>
    <t>wpływy z tytułu opłat i kosztów sądowych oraz innych opłat uiszczanych na rzecz Skarbu Państwa z tytułu postępowania sądowego i prokuratorskiego</t>
  </si>
  <si>
    <t>85220</t>
  </si>
  <si>
    <t xml:space="preserve">Jednostki specjalistycznego poradnictwa, mieszkania treningowe </t>
  </si>
  <si>
    <t>i wspomagane oraz ośrodki interwencji kryzysowej</t>
  </si>
  <si>
    <t>85228</t>
  </si>
  <si>
    <t>Usługi opiekuńcze i specjalistyczne usługi opiekuńcze</t>
  </si>
  <si>
    <t>85230</t>
  </si>
  <si>
    <t>Pomoc w zakresie dożywiania</t>
  </si>
  <si>
    <t>85295</t>
  </si>
  <si>
    <t xml:space="preserve">Pozostała działalność </t>
  </si>
  <si>
    <t>85395</t>
  </si>
  <si>
    <t>85501</t>
  </si>
  <si>
    <t>Świadczenie wychowawcze</t>
  </si>
  <si>
    <t>85502</t>
  </si>
  <si>
    <t>Świadczenia rodzinne, świadczenie z funduszu alimentacyjnego</t>
  </si>
  <si>
    <t xml:space="preserve">oraz składki na ubezpieczenia emerytalne i rentowe </t>
  </si>
  <si>
    <t>z ubezpieczenia społecznego</t>
  </si>
  <si>
    <t xml:space="preserve">wpływy z tytułu kosztów egzekucyjnych, opłaty komorniczej </t>
  </si>
  <si>
    <t>i kosztów upomnień</t>
  </si>
  <si>
    <t xml:space="preserve"> dochody jednostek samorządu terytorialnego związane </t>
  </si>
  <si>
    <t>z realizacją zadań z zakresu administracji rządowej oraz innych</t>
  </si>
  <si>
    <t xml:space="preserve"> zadań zleconych  ustawami</t>
  </si>
  <si>
    <t>85504</t>
  </si>
  <si>
    <t>Wspieranie rodziny</t>
  </si>
  <si>
    <t>85516</t>
  </si>
  <si>
    <t>System opieki nad dziećmi w wieku do lat 3</t>
  </si>
  <si>
    <t>85595</t>
  </si>
  <si>
    <t>dotacje celowe w ramach programów finansowanych</t>
  </si>
  <si>
    <t xml:space="preserve">	z udziałem środków europejskich oraz środków, o których</t>
  </si>
  <si>
    <t xml:space="preserve">	mowa w art.5 ust.3 pkt 5 oraz ust.3 pkt 5 lit. a i b ustawy,</t>
  </si>
  <si>
    <t xml:space="preserve">	lub płatności w ramach budżetu środków europejskich,</t>
  </si>
  <si>
    <t xml:space="preserve">	realizowanych przez jednostki samorządu terytorialnego</t>
  </si>
  <si>
    <t>90002</t>
  </si>
  <si>
    <t>Gospodarka odpadami komunalnymi</t>
  </si>
  <si>
    <t>samorządu terytorialnego na podstawie odrębnych</t>
  </si>
  <si>
    <t>90005</t>
  </si>
  <si>
    <t xml:space="preserve">Ochrona powietrza atmosferycznego i klimatu </t>
  </si>
  <si>
    <t>90013</t>
  </si>
  <si>
    <t>Schroniska dla zwierząt</t>
  </si>
  <si>
    <t xml:space="preserve">Oświetlenie ulic, placów i dróg </t>
  </si>
  <si>
    <t>90019</t>
  </si>
  <si>
    <t xml:space="preserve">Wpływy i wydatki związane z gromadzeniem środków </t>
  </si>
  <si>
    <t>z opłat i kar za korzystanie ze środowiska</t>
  </si>
  <si>
    <t>wpływy z grzywien i innych kar pieniężnych od osób prawnych</t>
  </si>
  <si>
    <t>i innych jednostek organizacyjnych</t>
  </si>
  <si>
    <t>90095</t>
  </si>
  <si>
    <t xml:space="preserve">publicznych oraz innych umów o podobnym </t>
  </si>
  <si>
    <t xml:space="preserve">charakterze </t>
  </si>
  <si>
    <t>2006</t>
  </si>
  <si>
    <t>środków europejskich oraz środków, o kórych mowa w art. 5 ust. 1</t>
  </si>
  <si>
    <t>dochodów klasyfikowanych w paragrafie 205</t>
  </si>
  <si>
    <t>92601</t>
  </si>
  <si>
    <t xml:space="preserve">Obiekty sportowe </t>
  </si>
  <si>
    <t>92604</t>
  </si>
  <si>
    <t>Instytucje kultury fizycznej</t>
  </si>
  <si>
    <t>dochody z najmu i dzierżawy składników majątkowych</t>
  </si>
  <si>
    <t>Razem dochody własne gminy:</t>
  </si>
  <si>
    <t>Dochody na zadania własne powiatu:</t>
  </si>
  <si>
    <t xml:space="preserve">Wytwarzanie i zaopatrywanie w energię elektryczną, gaz i wodę </t>
  </si>
  <si>
    <t>Dostarczanie energii elekrtycznej</t>
  </si>
  <si>
    <t>0840</t>
  </si>
  <si>
    <t>wpływy ze sprzedaży wyrobów</t>
  </si>
  <si>
    <t>60015</t>
  </si>
  <si>
    <t>Drogi publiczne w miastach na prawach powiatu</t>
  </si>
  <si>
    <t>wpływy z tytułu grzywien, mandatów i innych kar pieniężnych od osób fizycznych</t>
  </si>
  <si>
    <t>wpływy z tytułu grzywien, i innych kary pieniężnych od osób prawnych i innych jednostek organizacyjnych</t>
  </si>
  <si>
    <t>środki na dofinansowanie własnych inwestycji gmin, powiatów</t>
  </si>
  <si>
    <t>6370</t>
  </si>
  <si>
    <t xml:space="preserve">środki otrzymane z Rządowego Funduszu Polski Ład: Program </t>
  </si>
  <si>
    <t>Inwestycji Strategicznych na realizację zadań inwestycyjnych</t>
  </si>
  <si>
    <t>71012</t>
  </si>
  <si>
    <t>Zadania z zakresu geodezji i kartografii</t>
  </si>
  <si>
    <t>75020</t>
  </si>
  <si>
    <t>Starostwa powiatowe</t>
  </si>
  <si>
    <t xml:space="preserve">wpływy z kosztów egzekucyjnych, opłaty komorniczej i kosztów </t>
  </si>
  <si>
    <t>upomnień</t>
  </si>
  <si>
    <t>6259</t>
  </si>
  <si>
    <t xml:space="preserve">Obrona narodowa </t>
  </si>
  <si>
    <t>75224</t>
  </si>
  <si>
    <t>Kwalifikacja wojskowa</t>
  </si>
  <si>
    <t>2120</t>
  </si>
  <si>
    <t xml:space="preserve">dotacje celowe otrzymane z budżetu państwa na zadania </t>
  </si>
  <si>
    <t>bieżące realizowane przez powiat na podstawie porozumień</t>
  </si>
  <si>
    <t>z organami administracji rządowej</t>
  </si>
  <si>
    <t>75411</t>
  </si>
  <si>
    <t>Komendy powiatowe Państwowej Straży Pożarnej</t>
  </si>
  <si>
    <t>80102</t>
  </si>
  <si>
    <t>Szkoły podstawowe specjalne</t>
  </si>
  <si>
    <t>80115</t>
  </si>
  <si>
    <t>Technika</t>
  </si>
  <si>
    <t>80120</t>
  </si>
  <si>
    <t>Licea ogólnokształcące</t>
  </si>
  <si>
    <t>80132</t>
  </si>
  <si>
    <t>Szkoły artystyczne</t>
  </si>
  <si>
    <t>80134</t>
  </si>
  <si>
    <t xml:space="preserve">Szkoły zawodowe specjalne </t>
  </si>
  <si>
    <t>80140</t>
  </si>
  <si>
    <t>Placówki kształcenia ustawicznego i centra kształcenia</t>
  </si>
  <si>
    <t>zawodowego</t>
  </si>
  <si>
    <t>80146</t>
  </si>
  <si>
    <t>Dokształcanie i doskonalenie nauczycieli</t>
  </si>
  <si>
    <t>80151</t>
  </si>
  <si>
    <t xml:space="preserve">Kwalifikacyjne kursy zawodowe </t>
  </si>
  <si>
    <t>wpływy z otrzymanych spadków, zapisów i darowizn w postaci pieniężnej</t>
  </si>
  <si>
    <t xml:space="preserve">dotacje celowe w ramach programów finansowanych z </t>
  </si>
  <si>
    <t xml:space="preserve">udziałem środków europejskich oraz środków, o których </t>
  </si>
  <si>
    <t xml:space="preserve">mowa w art. 5 ust. 3 pkt 5 lit. a i b ustawy lub płatności </t>
  </si>
  <si>
    <t xml:space="preserve">w ramach budźetu środków europejskich  realizowanych </t>
  </si>
  <si>
    <t xml:space="preserve">w ramach budźetu środków europejskich  </t>
  </si>
  <si>
    <t xml:space="preserve">dotacje celowe otrzymane z budźetu państwa na zadania </t>
  </si>
  <si>
    <t xml:space="preserve">bieżące realizowane przez powiat na podstawie porozumień </t>
  </si>
  <si>
    <t>2701</t>
  </si>
  <si>
    <t>środki na dofinansowanie własnych zadań bieżących gmin</t>
  </si>
  <si>
    <t xml:space="preserve">(związków gmin), powiatów (związków powiatów), </t>
  </si>
  <si>
    <t xml:space="preserve">samorządów województw, pozyskane z innych źródeł </t>
  </si>
  <si>
    <t>85311</t>
  </si>
  <si>
    <t xml:space="preserve">Rehabilitacja zawodowa i społeczna osób </t>
  </si>
  <si>
    <t>niepełnosprawnych</t>
  </si>
  <si>
    <t>2320</t>
  </si>
  <si>
    <t>dotacje celowe otrzymane z powiatu na zadania bieżące</t>
  </si>
  <si>
    <t>realizowane na podstawie porozumień (umów) między</t>
  </si>
  <si>
    <t>jednostkami samorządu terytorialnego</t>
  </si>
  <si>
    <t>85321</t>
  </si>
  <si>
    <t>Zespoły do spraw orzekania o niepełnosprawności</t>
  </si>
  <si>
    <t xml:space="preserve">z realizacją zadań z zakresu administracji rządowej oraz innych </t>
  </si>
  <si>
    <t>zadań zleconych ustawami</t>
  </si>
  <si>
    <t>85406</t>
  </si>
  <si>
    <t>Poradnie psychologiczno - pedagogiczne, w tym</t>
  </si>
  <si>
    <t>poradnie specjalistyczne</t>
  </si>
  <si>
    <t>85410</t>
  </si>
  <si>
    <t>Internaty i bursy szkolne</t>
  </si>
  <si>
    <t>85417</t>
  </si>
  <si>
    <t xml:space="preserve">Szkolne schroniska młodzieżowe </t>
  </si>
  <si>
    <t>85420</t>
  </si>
  <si>
    <t>Młodzieżowe ośrodki wychowawcze</t>
  </si>
  <si>
    <t>85508</t>
  </si>
  <si>
    <t>Rodziny zastępcze</t>
  </si>
  <si>
    <t xml:space="preserve">wpływy z usług </t>
  </si>
  <si>
    <t>85510</t>
  </si>
  <si>
    <t>Działalność placówek opiekuńczo-wychowawczych</t>
  </si>
  <si>
    <t>0680</t>
  </si>
  <si>
    <t xml:space="preserve">wpływy od rodziców z tytułu opłaty za pobyt dziecka w pieczy </t>
  </si>
  <si>
    <t>zastępczej</t>
  </si>
  <si>
    <t>pieniężnych od osób fizycznych</t>
  </si>
  <si>
    <t>90001</t>
  </si>
  <si>
    <t>Gospodarka ściekowa i ochrona wód</t>
  </si>
  <si>
    <t>Razem dochody własne powiatu:</t>
  </si>
  <si>
    <t>Dochody na zadania zlecone:</t>
  </si>
  <si>
    <t>dotacja celowa otrzymana z budżetu państwa na realizację zadań</t>
  </si>
  <si>
    <t xml:space="preserve">bieżących z zakresu administracji rządowej oraz innych zadań </t>
  </si>
  <si>
    <t>zleconych gminie (związkom gmin, związkom powiatowo-gminnym)</t>
  </si>
  <si>
    <t>ustawami</t>
  </si>
  <si>
    <t>Urzędy naczelnych organów władzy państwowej, kontroli</t>
  </si>
  <si>
    <t xml:space="preserve"> i ochrony prawa oraz sądownictwa</t>
  </si>
  <si>
    <t>Urzędy naczelnych organów władzy państwowej,kontroli i ochrony</t>
  </si>
  <si>
    <t>prawa</t>
  </si>
  <si>
    <t>zleconych gminie (związkom gmin, związkom powiatowo-gminnym) ustawami</t>
  </si>
  <si>
    <t>Pozostała dzialalność</t>
  </si>
  <si>
    <t>Świadczenia rodzinne, świadczenia z funduszu alimentacyjnego</t>
  </si>
  <si>
    <t>z ubezpieczennia społecznego</t>
  </si>
  <si>
    <t>85503</t>
  </si>
  <si>
    <t xml:space="preserve">Karta Dużej  Rodziny </t>
  </si>
  <si>
    <t>Składki na ubezpieczenie zdrowotne opłacane za osoby pobierające niektóre świadczenia rodzinne oraz za osoby pobierające zasiłki dla opiekunów</t>
  </si>
  <si>
    <t>Dochody na zadania rządowe:</t>
  </si>
  <si>
    <t>01005</t>
  </si>
  <si>
    <t>Prace geodezyjno - urządzeniowe na potrzeby rolnictwa</t>
  </si>
  <si>
    <t>dotacja celowa otrzymana z budżetu państwa na zadania bieżące</t>
  </si>
  <si>
    <t xml:space="preserve">z zakresu administracji rządowej oraz inne zadania zlecone </t>
  </si>
  <si>
    <t>ustawami realizowane przez powiat</t>
  </si>
  <si>
    <t>71013</t>
  </si>
  <si>
    <t xml:space="preserve">Prace geodezyjne i kartograficzne na potrzeby organów administracji  geodezyjnej i kartograficznej </t>
  </si>
  <si>
    <t>2110</t>
  </si>
  <si>
    <t>71095</t>
  </si>
  <si>
    <t>75212</t>
  </si>
  <si>
    <t>Pozostałe wydatki obronne</t>
  </si>
  <si>
    <t>Bezpieczeństwo publiczne i ochrona przeciwpożarowa</t>
  </si>
  <si>
    <t>Nieodpłatna pomoc prawna</t>
  </si>
  <si>
    <t>OGÓŁEM DOCHODY:</t>
  </si>
  <si>
    <t>Załącznik Nr 2</t>
  </si>
  <si>
    <t>Wydatki budżetu miasta Włocławek na 2026 rok</t>
  </si>
  <si>
    <t>z tego:</t>
  </si>
  <si>
    <t xml:space="preserve"> w tym:</t>
  </si>
  <si>
    <t>w tym:</t>
  </si>
  <si>
    <t>Nazwa</t>
  </si>
  <si>
    <t>WYDATKI</t>
  </si>
  <si>
    <t xml:space="preserve">Wydatki </t>
  </si>
  <si>
    <t>wydatki na</t>
  </si>
  <si>
    <t>inwestycje,</t>
  </si>
  <si>
    <t>inwestycje</t>
  </si>
  <si>
    <t>bieżące</t>
  </si>
  <si>
    <t>wydatki</t>
  </si>
  <si>
    <t>dotacje</t>
  </si>
  <si>
    <t>świadczenia</t>
  </si>
  <si>
    <t>programy</t>
  </si>
  <si>
    <t>majątkowe</t>
  </si>
  <si>
    <t>zakupy</t>
  </si>
  <si>
    <t>i zakupy inwest.</t>
  </si>
  <si>
    <t>wynagrodzenia</t>
  </si>
  <si>
    <t>realizację</t>
  </si>
  <si>
    <t>na zadania</t>
  </si>
  <si>
    <t>na rzecz</t>
  </si>
  <si>
    <t>realizowane</t>
  </si>
  <si>
    <t>inwestycyjne</t>
  </si>
  <si>
    <t xml:space="preserve">jednostek </t>
  </si>
  <si>
    <t>i składki od nich</t>
  </si>
  <si>
    <t xml:space="preserve">zadań </t>
  </si>
  <si>
    <t>osób</t>
  </si>
  <si>
    <t>z udziałem</t>
  </si>
  <si>
    <t>i wniesienie</t>
  </si>
  <si>
    <t>budżetowych</t>
  </si>
  <si>
    <t>naliczane</t>
  </si>
  <si>
    <t>statutowych</t>
  </si>
  <si>
    <t>fizycznych</t>
  </si>
  <si>
    <t>środk. unijnych</t>
  </si>
  <si>
    <t>udziałów</t>
  </si>
  <si>
    <t>Wydatki na zadania własne gminy:</t>
  </si>
  <si>
    <t>01030</t>
  </si>
  <si>
    <t>Izby Rolnicze</t>
  </si>
  <si>
    <t>Gospodarka leśna</t>
  </si>
  <si>
    <t xml:space="preserve">Lokalny transport zbiorowy </t>
  </si>
  <si>
    <t>Funkcjonowanie dworców i węzłów przesiadkowych</t>
  </si>
  <si>
    <t>Funkcjonowanie systemów rowerów miejskich</t>
  </si>
  <si>
    <t>Zadania w zakresie upowszechniania turystyki</t>
  </si>
  <si>
    <t>Społeczne inicjatywy mieszkaniowe</t>
  </si>
  <si>
    <r>
      <t xml:space="preserve">Cmentarze - </t>
    </r>
    <r>
      <rPr>
        <sz val="7"/>
        <rFont val="Arial CE"/>
        <charset val="238"/>
      </rPr>
      <t xml:space="preserve">zadanie realizowane na podstawie </t>
    </r>
  </si>
  <si>
    <t>porozumienia</t>
  </si>
  <si>
    <t xml:space="preserve">Administracja publiczna </t>
  </si>
  <si>
    <t>Rady gmin (miast i miast na prawach powiatu)</t>
  </si>
  <si>
    <t xml:space="preserve">Działalność informacyjna i kulturalna </t>
  </si>
  <si>
    <t>prowadzona za granicą</t>
  </si>
  <si>
    <t>Promocja jednostek samorządu terytorialnego</t>
  </si>
  <si>
    <t>Wspólna obsługa jednostek samorządu terytorialnego</t>
  </si>
  <si>
    <t>Obrona cywilna</t>
  </si>
  <si>
    <t>Zarządzanie kryzysowe</t>
  </si>
  <si>
    <t xml:space="preserve">Obsługa papierów wartościowych, kredytów </t>
  </si>
  <si>
    <t>i pożyczek oraz innych zobowiązań jednostek</t>
  </si>
  <si>
    <t>samorządu terytorialnego zaliczanych do tytułu</t>
  </si>
  <si>
    <t>dłużnego - kredyty i pożyczki</t>
  </si>
  <si>
    <t xml:space="preserve">Różne rozliczenia  </t>
  </si>
  <si>
    <t xml:space="preserve">Rezerwy ogólne i celowe </t>
  </si>
  <si>
    <t>80103</t>
  </si>
  <si>
    <t>Oddziały przedszkolne w szkołach podstawowych</t>
  </si>
  <si>
    <t>80105</t>
  </si>
  <si>
    <t>Przedszkola specjalne</t>
  </si>
  <si>
    <t>80106</t>
  </si>
  <si>
    <t>Inne formy wychowania przedszkolnego</t>
  </si>
  <si>
    <t>Świetlice szkolne</t>
  </si>
  <si>
    <t>Dowożenie uczniów do szkół</t>
  </si>
  <si>
    <t>Stołówki szkolne i przedszkolne</t>
  </si>
  <si>
    <t xml:space="preserve">Realizacja zadań wymagających stosowania </t>
  </si>
  <si>
    <t>specjalnej organizacji nauki i metod pracy dla dzieci</t>
  </si>
  <si>
    <t xml:space="preserve">w przedszkolach, oddziałach przedszkolnych </t>
  </si>
  <si>
    <t>w szkołach podstawowych i innych formach</t>
  </si>
  <si>
    <t>wychowania przedszkolnego</t>
  </si>
  <si>
    <t>i młodzieży w szkołach podstawowych</t>
  </si>
  <si>
    <t>Programy polityki zdrowotnej</t>
  </si>
  <si>
    <t>Zwalczanie narkomanii</t>
  </si>
  <si>
    <t>Zadania w zakresie przeciwdziałania przemocy</t>
  </si>
  <si>
    <t>domowej</t>
  </si>
  <si>
    <t>Składki na ubezpieczenie zdrowotne opłacane za</t>
  </si>
  <si>
    <t>osoby pobierające niektóre świadczenia z pomocy</t>
  </si>
  <si>
    <t xml:space="preserve">społecznej oraz za osoby uczestniczące </t>
  </si>
  <si>
    <t>Zasiłki okresowe, celowe i pomoc w naturze oraz</t>
  </si>
  <si>
    <t xml:space="preserve">składki na ubezpieczenia emerytalne i rentowe </t>
  </si>
  <si>
    <t>Jednostki specjalistycznego poradnictwa, mieszkania</t>
  </si>
  <si>
    <t>treningowe i wspomagane oraz ośrodki interwencji</t>
  </si>
  <si>
    <t>kryzysowej</t>
  </si>
  <si>
    <t>Usługi opiekuńcze i specjalistyczne usługi</t>
  </si>
  <si>
    <t>opiekuńcze</t>
  </si>
  <si>
    <t>Wczesne wspomaganie rozwoju dziecka</t>
  </si>
  <si>
    <t>Kolonie i obozy oraz inne formy wypoczynku</t>
  </si>
  <si>
    <t>dzieci i młodzieży szkolnej, a także szkolenia</t>
  </si>
  <si>
    <t>młodzieży</t>
  </si>
  <si>
    <t>85415</t>
  </si>
  <si>
    <t>Pomoc materialna dla uczniów o charakterze socjalnym</t>
  </si>
  <si>
    <t xml:space="preserve">Świadczenia rodzinne, świadczenie z funduszu </t>
  </si>
  <si>
    <t xml:space="preserve">alimentacyjnego oraz składki na ubezpieczenia </t>
  </si>
  <si>
    <t>emerytalne i rentowe z ubezpieczenia społecznego</t>
  </si>
  <si>
    <t>Oczyszczanie miast i wsi</t>
  </si>
  <si>
    <t>Utrzymanie zieleni w miastach i gminach</t>
  </si>
  <si>
    <t>Ochrona powietrza atmosferycznego i klimatu</t>
  </si>
  <si>
    <t>Oświetlenie ulic, placów i dróg</t>
  </si>
  <si>
    <t>Pozostałe działania związane  gospodarką odpadami</t>
  </si>
  <si>
    <t>Galerie i biura wystaw artystycznych</t>
  </si>
  <si>
    <t>Centra kultury i sztuki</t>
  </si>
  <si>
    <t>Pozostałe instytucje kultury</t>
  </si>
  <si>
    <t>Biblioteki</t>
  </si>
  <si>
    <t>Ochrona zabytków i opieka nad zabytkami</t>
  </si>
  <si>
    <t>Obiekty sportowe</t>
  </si>
  <si>
    <t xml:space="preserve">Zadania w zakresie kultury fizycznej </t>
  </si>
  <si>
    <t>Razem wydatki własne:</t>
  </si>
  <si>
    <t>Wydatki na zadania własne powiatu:</t>
  </si>
  <si>
    <t>Komendy powiatowe Policji</t>
  </si>
  <si>
    <t>Szkoły policealne</t>
  </si>
  <si>
    <t>Branżowe szkoły I  stopnia</t>
  </si>
  <si>
    <t>Branżowe szkoły II stopnia</t>
  </si>
  <si>
    <t>Licea ogólnokształcące dla dorosłych</t>
  </si>
  <si>
    <t>Szkoły zawodowe specjalne</t>
  </si>
  <si>
    <t>Placówki kształcenia ustawicznego i centra</t>
  </si>
  <si>
    <t>kształcenia zawodowego</t>
  </si>
  <si>
    <t>80142</t>
  </si>
  <si>
    <t>Ośrodki szkolenia, dokształcania i doskonalenia kadr</t>
  </si>
  <si>
    <t>Kwalifikacyjne kursy zawodowe</t>
  </si>
  <si>
    <t>i młodzieży w gimnazjach, klasach dotychczasowego</t>
  </si>
  <si>
    <t>gimnazjum prowadzonych w szkołach innego typu,</t>
  </si>
  <si>
    <t>liceach ogólnokształcących, technikach, szkołach</t>
  </si>
  <si>
    <t xml:space="preserve">policealnych, branżowych szkołach I i II stopnia </t>
  </si>
  <si>
    <t>i klasach dotychczasowej zasadniczej szkoły</t>
  </si>
  <si>
    <t>zawodwej prowadzonych w branżowych szkołach</t>
  </si>
  <si>
    <t>I stopnia oraz szkołach artystycznych</t>
  </si>
  <si>
    <t>Rehabilitacja zawodowa i społeczna osób</t>
  </si>
  <si>
    <t>Powiatowe urzędy pracy</t>
  </si>
  <si>
    <t>Specjalne ośrodki wychowawcze</t>
  </si>
  <si>
    <t>Szkolne schroniska młodzieżowe</t>
  </si>
  <si>
    <t>Działalność placówek opiekuńczo - wychowawczych</t>
  </si>
  <si>
    <t>Razem wydatki własne powiatu:</t>
  </si>
  <si>
    <t>Wydatki na zadania zlecone gminie:</t>
  </si>
  <si>
    <t>kontroli i ochrony prawa</t>
  </si>
  <si>
    <t>Karta Dużej Rodziny</t>
  </si>
  <si>
    <t>osoby pobierające niektóre świadczenia rodzinne</t>
  </si>
  <si>
    <t>oraz za osoby pobierające zasiłki dla opiekunów</t>
  </si>
  <si>
    <t>Wydatki na zadania rządowe powiatu:</t>
  </si>
  <si>
    <t>Prace geodezyjne i kartograficzne na potrzeby organów administracji geodezyjnej i kartograficznej</t>
  </si>
  <si>
    <t xml:space="preserve">Urzędy wojewódzkie </t>
  </si>
  <si>
    <t xml:space="preserve">przeciwpożarowa </t>
  </si>
  <si>
    <t xml:space="preserve">Pomoc społeczna </t>
  </si>
  <si>
    <t>Ogółem wydatki:</t>
  </si>
  <si>
    <t>* w kolumnie Nr 11 podane wartości na realizację programów ze środków unijnych obejmują wydatki rzeczowe (4.793.320,62 zł) i osobowe (1.696.649,58 zł)</t>
  </si>
  <si>
    <t>Załącznik Nr 3</t>
  </si>
  <si>
    <t>Plan wydatków majątkowych na 2026 rok</t>
  </si>
  <si>
    <t>Planowane wydatki</t>
  </si>
  <si>
    <t xml:space="preserve">Pozostałe </t>
  </si>
  <si>
    <t>Jednostka</t>
  </si>
  <si>
    <t xml:space="preserve">Łączne </t>
  </si>
  <si>
    <t>rok</t>
  </si>
  <si>
    <t>Źródła finansowania</t>
  </si>
  <si>
    <t xml:space="preserve">środki  </t>
  </si>
  <si>
    <t>organizacyjna</t>
  </si>
  <si>
    <t>Dział</t>
  </si>
  <si>
    <t>Nazwa zadania inwestycyjnego</t>
  </si>
  <si>
    <t>koszty</t>
  </si>
  <si>
    <t>budżetowy</t>
  </si>
  <si>
    <t>środki</t>
  </si>
  <si>
    <t>wydzielone</t>
  </si>
  <si>
    <t>realizująca</t>
  </si>
  <si>
    <t>finansowe</t>
  </si>
  <si>
    <t xml:space="preserve">pochodzące </t>
  </si>
  <si>
    <t>wymienione</t>
  </si>
  <si>
    <t>rachunki</t>
  </si>
  <si>
    <t>program lub</t>
  </si>
  <si>
    <t>(6+7+8)</t>
  </si>
  <si>
    <t xml:space="preserve">własne </t>
  </si>
  <si>
    <t>z innych</t>
  </si>
  <si>
    <t>w art.5 ust.1</t>
  </si>
  <si>
    <t>jednostek</t>
  </si>
  <si>
    <t>koordynująca</t>
  </si>
  <si>
    <t>źródeł</t>
  </si>
  <si>
    <t>pkt 2 i 3 u.f.p.</t>
  </si>
  <si>
    <t>oświatowych</t>
  </si>
  <si>
    <t>wykonanie</t>
  </si>
  <si>
    <t>programu</t>
  </si>
  <si>
    <t>OGÓŁEM:</t>
  </si>
  <si>
    <t>x</t>
  </si>
  <si>
    <t>TRANSPORT I  ŁĄCZNOŚĆ</t>
  </si>
  <si>
    <t>6057 / 6059</t>
  </si>
  <si>
    <t xml:space="preserve">Rozwój zeroemisyjnego transportu publicznego we Włocławku poprzez zakup zeroemisyjnego transportu wraz z niezbędną infrastrukturą - etap II </t>
  </si>
  <si>
    <t>Urząd Miasta / Wydział Dróg, Transportu Zbiorowego i Energii</t>
  </si>
  <si>
    <t>WPF 2024-2026</t>
  </si>
  <si>
    <t>6058 / 6059</t>
  </si>
  <si>
    <t>Tabor na potrzeby czystej komunikacji w mieście Włocławek</t>
  </si>
  <si>
    <t>6056/ 6057</t>
  </si>
  <si>
    <t>Multimodalne centrum przesiadkowe - etap III</t>
  </si>
  <si>
    <t>Miejski Zarząd Dróg i Zieleni</t>
  </si>
  <si>
    <t>WPF 2025-2027</t>
  </si>
  <si>
    <t>Fund. Szwajc PSPRM</t>
  </si>
  <si>
    <t>6058                6059</t>
  </si>
  <si>
    <t>Poprawa funkcjonowania transportu zbiorowego w mieście Włocławek poprzez modernizację infrastruktury towarzyszącej transportowi zbiorowemu II ETAP</t>
  </si>
  <si>
    <t>FEKiP</t>
  </si>
  <si>
    <t xml:space="preserve">Budowa tunelu w ciągu ul. Wienieckiej </t>
  </si>
  <si>
    <t>WPF 2020-2028</t>
  </si>
  <si>
    <t>6050 / 6370</t>
  </si>
  <si>
    <t>Rekonstrukcja jezdni i chodnika na moście stalowym wraz z zabezpieczeniem antykorozyjnym mostu i iluminacją</t>
  </si>
  <si>
    <t>WPF 2022-2026</t>
  </si>
  <si>
    <t xml:space="preserve">Polski Ład </t>
  </si>
  <si>
    <t>RFRD</t>
  </si>
  <si>
    <t>6058    6059</t>
  </si>
  <si>
    <t>Budowa i przebudowa dróg rowerowych na terenie miasta Włocławek II ETAP</t>
  </si>
  <si>
    <t>WPF 2025-2026</t>
  </si>
  <si>
    <t>Budowa i przebudowa dróg rowerowych na terenie miasta Włocławek III ETAP</t>
  </si>
  <si>
    <t>Przebudowa/rekonstrukcja dróg powiatowych</t>
  </si>
  <si>
    <t>Przebudowa śródmiejskich ulic powiatowych</t>
  </si>
  <si>
    <t>Przebudowa skrzyżowania ulic Wyszyńskiego - Tumskiej - Placu Kopernika - mostu stalowego</t>
  </si>
  <si>
    <t>Przedłużenie ulicy Średnicowej od ul. Kaliskiej do ul. Kapitulnej</t>
  </si>
  <si>
    <t>WPF 2026-2027</t>
  </si>
  <si>
    <t>Budowa drogi stanowiącej przedłużenie ul. Letniej od Al. Jana Pawła II do ul. Szyszkowej</t>
  </si>
  <si>
    <t>6058/ 6059</t>
  </si>
  <si>
    <t>Budowa kanalizacji deszczowej w ulicy Mielęcińskiej</t>
  </si>
  <si>
    <t>FENIKS</t>
  </si>
  <si>
    <t>Budowa ulicy Brzezinowej na odcinku od ul. Mielęcińskiej do ul. Letniej</t>
  </si>
  <si>
    <t>WPF 2023-2026</t>
  </si>
  <si>
    <t>Budowa ulicy Bulwary do ulicy Barskiej</t>
  </si>
  <si>
    <t xml:space="preserve">Budowa ul. Energetyków na odcinku od ul. Hutniczej do przejścia podziemnego dla pieszych pod torami kolejowymi </t>
  </si>
  <si>
    <t xml:space="preserve">Budowa ul. Energetyków na odcinku od ul. Zdrojowej do ul. Hutniczej </t>
  </si>
  <si>
    <t xml:space="preserve">Przebudowa ul. Rybnickiej </t>
  </si>
  <si>
    <t>Budowa ulicy Cienistej</t>
  </si>
  <si>
    <t>Budowa drogi gminnej łączącej ulicę Polną z ulicą Żytnią wraz z budową ronda na skrzyżowaniu ulic Zielnej i Polnej</t>
  </si>
  <si>
    <t>Przebudowa/rekonstrukcja dróg gminnych</t>
  </si>
  <si>
    <t>Przebudowa śródmiejskich ulic gminnych</t>
  </si>
  <si>
    <t xml:space="preserve">Zielona i niebieska infrastruktura miasta </t>
  </si>
  <si>
    <t>Budowa ul. Ruda na odcinku od ogródków działkowych do granicy miasta</t>
  </si>
  <si>
    <t>Budowa / przebudowa dróg wewnętrznych</t>
  </si>
  <si>
    <t>GOSPODARKA MIESZKANIOWA</t>
  </si>
  <si>
    <t>Zniesienia współwłasności nieruchomości, wykupy nieruchomości, pierwokupy</t>
  </si>
  <si>
    <t>Urząd Miasta/Wydział Gospodarowania Mieniem Komunalnym</t>
  </si>
  <si>
    <t>Nabycie nieruchomości zabudowanej przy ul. Bojańczyka oraz ul. Św. Antoniego od BAZA sp. z o.o. we Włocławku w związku z realizacją strategii rozwoju w celu koncentracji wydziałów Urzędu Miasta Włocławek w jednej lokalizacji</t>
  </si>
  <si>
    <t>WPF 2026-2030</t>
  </si>
  <si>
    <t xml:space="preserve">Gospodarowanie mieszkaniowym zasobem gminy </t>
  </si>
  <si>
    <t>6237/ 6239</t>
  </si>
  <si>
    <t>Społeczna Agencja Najmu szansą dla mieszkańców Włocławka na bezpieczny i stabilny najem</t>
  </si>
  <si>
    <t>Termomodernizacja budynków mieszkalnych (w tym budynki w obszarze rewitalizacji)</t>
  </si>
  <si>
    <t>Administracja Zasobów Komunalnych</t>
  </si>
  <si>
    <t>Wykonanie instalacji co, cwu indywidualnych piecy gazowych</t>
  </si>
  <si>
    <t>Wykonanie instalacji co, cwu i cyrkulacji wraz z przebudową instalacji wodno - kanalizacyjnej w budynkach mieszkalnych (w tym budynki w obszarze rewitalizacji)</t>
  </si>
  <si>
    <t xml:space="preserve">Modernizacja i ulepszenie nieruchomości i lokali Mieszkaniowego Zasobu Komunalnego </t>
  </si>
  <si>
    <t>Wykonanie projektów technicznych</t>
  </si>
  <si>
    <t>Zakup mieszkań modułowych</t>
  </si>
  <si>
    <t>6038/ 6039</t>
  </si>
  <si>
    <t>Dokapitalizowanie Miejskiego Towarzystwa Budownictwa Społecznego sp. z o.o. na realizację zadania "Budowa zespołu czterech budynków mieszkalnych wielorodzinnych z lokalami usługowymi, garażem podziemnym oraz zagospodarowaniem terenu, wraz z rozbiórką istniejącego budynku mieszkalnego jednorodzinnego - przy ul. Cyganka we Włocławku</t>
  </si>
  <si>
    <t>Urząd Miasta /Wydział Nadzoru Właścicielskiego i Gospodarki Komunalnej</t>
  </si>
  <si>
    <t>Przebudowa budynku 3 -go Maja 6 (rewitalizacja)</t>
  </si>
  <si>
    <t>Urząd Miasta /Wydział Inwestycji i Zamówień Publicznych</t>
  </si>
  <si>
    <t>WPF 2022-2028</t>
  </si>
  <si>
    <t>Przebudowa budynku 3  -go Maja 4 (rewitalizacja)</t>
  </si>
  <si>
    <t>WPF 2023-2027</t>
  </si>
  <si>
    <t>6050, 6058, 6059</t>
  </si>
  <si>
    <t xml:space="preserve">Przebudowa budynku przy ul. Królewieckiej 12 </t>
  </si>
  <si>
    <t>WPF 2021-2027</t>
  </si>
  <si>
    <t>KPO</t>
  </si>
  <si>
    <t>Przebudowa kamienicy przy ul. Maślanej 4/6</t>
  </si>
  <si>
    <t>WPF 2019-2026</t>
  </si>
  <si>
    <t>Tumska/3 Maja budowa budynków mieszkalnych</t>
  </si>
  <si>
    <t>Dotacje do prac budowlanych w ramach Programu Rewitalizacji</t>
  </si>
  <si>
    <t xml:space="preserve">Dokapitalizowanie Miejskiego Budownictwa Mieszkaniowego sp. z o.o.   </t>
  </si>
  <si>
    <t>DZIAŁALNOŚĆ USŁUGOWA</t>
  </si>
  <si>
    <t>Wykonanie alejek na terenie Cmentarza Komunalnego we Włocławku</t>
  </si>
  <si>
    <t>Budowa oświetlenia na terenie Cmentarza Komunalnego we Włocławku wraz z przygotowaniem pod monitoring</t>
  </si>
  <si>
    <t>Budowa oświetlenia na terenie Cmentarza Komunalnego w Pińczacie wraz z monitoringiem</t>
  </si>
  <si>
    <t>Naprawa fragmentów muru cmentarnego</t>
  </si>
  <si>
    <t>Renowacja i modernizacja nagrobków osób zasłużonych dla miasta</t>
  </si>
  <si>
    <t>ADMINISTRACJA PUBLICZNA</t>
  </si>
  <si>
    <t>6067/6069</t>
  </si>
  <si>
    <t>Infostrada Kujaw i Pomorza 3.0 - Utworzenie bazy GESUT</t>
  </si>
  <si>
    <t>Urząd Miasta /Miejski Ośrodek Dokumentacji Geodezyjnej i Kartograficznej</t>
  </si>
  <si>
    <t>WPF 2025-2028</t>
  </si>
  <si>
    <t>Budowa przyłączy światłowodowych do Centrum Monitoringu Straży Miejskiej</t>
  </si>
  <si>
    <t>Urząd Miasta/ Wydział Informatyki i Danych Miejskich</t>
  </si>
  <si>
    <t>Zakup sprzętu komputerowego, oprogramowania i licencji do obsługi Urzędu Miasta</t>
  </si>
  <si>
    <t>6067 / 6069</t>
  </si>
  <si>
    <t>Cyberbezpieczny Samorząd</t>
  </si>
  <si>
    <t>Infostrada Kujaw i Pomorza 3.0 - Rozbudowa Platformy Miejskiej</t>
  </si>
  <si>
    <t>6058      6059</t>
  </si>
  <si>
    <t>3-go Maja woonerfem / przebudowa ul. 3-go Maja w ramach Gminnego Programu Rewitalizacji Miasta Włocławek</t>
  </si>
  <si>
    <t>FEdlaKiP</t>
  </si>
  <si>
    <t>Nadwiślańskie Centrum Dziedzictwa "Szkutnia" we Włocławku</t>
  </si>
  <si>
    <t>WPF 2025 - 2029</t>
  </si>
  <si>
    <t>Przebudowa Placu Wolności</t>
  </si>
  <si>
    <t>WPF 2022 - 2027</t>
  </si>
  <si>
    <t>Przebudowa Urzędu Miasta Włocławek</t>
  </si>
  <si>
    <t>WPF 2020 - 2027</t>
  </si>
  <si>
    <t>Zagospodarowanie terenu przy Teatrze</t>
  </si>
  <si>
    <t>WPF 2020 - 2026</t>
  </si>
  <si>
    <t>Przygotowanie inwestycji realizowanych przy udziale środków zewnętrznych</t>
  </si>
  <si>
    <t xml:space="preserve">Ciągi komunikacyjne poza pasami drogowymi </t>
  </si>
  <si>
    <t>6058   6059</t>
  </si>
  <si>
    <t>Zielone tereny Śródmieścia miasta Włocławek</t>
  </si>
  <si>
    <t>BEZPIECZEŃSTWO PUBLICZNE I OCHRONA PRZECIWPOŻAROWA</t>
  </si>
  <si>
    <t>Modernizacja Centralnego Systemu Alarmowania na terenie Gminy Miasto Włocławek</t>
  </si>
  <si>
    <t>Urząd Miasta / Wydział Zarządzania Kryzysowego i Bezpieczeństwa</t>
  </si>
  <si>
    <t xml:space="preserve">Modernizacja trzech anten bazowych na budynku Urzędu Miasta Włocławek (1 szt.) oraz budynku Straży Miejskiej (2 szt.) </t>
  </si>
  <si>
    <t>Straż Miejska</t>
  </si>
  <si>
    <t xml:space="preserve">Zakup urządzeń do awaryjnego podtrzymania napięcia </t>
  </si>
  <si>
    <t>OŚWIATA I WYCHOWANIE</t>
  </si>
  <si>
    <t>Budowa sali gimnastycznej przy Zespole Szkół Nr 8</t>
  </si>
  <si>
    <t>WPF 2019-2027</t>
  </si>
  <si>
    <t>Przebudowa sali gimnastycznej Szkoły Podstawowej Nr 12</t>
  </si>
  <si>
    <t>Modernizacja łazienek ZSP Nr 2</t>
  </si>
  <si>
    <t>Zespół Szkolno - Przedszkolny Nr 2</t>
  </si>
  <si>
    <t>Zakup maszyny - automatu do sprzątania powierzchni sal gimnastycznych w II LO</t>
  </si>
  <si>
    <t>II Liceum Ogólnokształcące</t>
  </si>
  <si>
    <t xml:space="preserve">Termomodernizacja obiektu warsztatów MOW </t>
  </si>
  <si>
    <t>Młodzieżowy Ośrodek Wychowawczy</t>
  </si>
  <si>
    <t>Modernizacja poszycia dachowego wraz z obróbkami blacharskimi budynków warsztatów szkolnych w MOW</t>
  </si>
  <si>
    <t>Program dostosowania placówek oświatowych do przepisów przeciwpożarowych</t>
  </si>
  <si>
    <t xml:space="preserve">Program "Dach" - modernizacja pokryć dachowych </t>
  </si>
  <si>
    <t>Program "Ogrodzenie"</t>
  </si>
  <si>
    <t>Program "Łazienka" - modernizacja łazienek w placówkach oświatowych</t>
  </si>
  <si>
    <t xml:space="preserve">Przebudowa budynków oświatowych wraz z infrastrukturą towarzyszącą </t>
  </si>
  <si>
    <t>POMOC SPOŁECZNA</t>
  </si>
  <si>
    <t>Kontynuacja wymiany instalacji elektrycznej w budynku mieszkalnym I i II piętro</t>
  </si>
  <si>
    <t>Dom Pomocy Społecznej Dobrzyńska 102</t>
  </si>
  <si>
    <t>Zakup suszarki bębnowej (z dostawą i montażem)</t>
  </si>
  <si>
    <t>Zakup krzesła ewakuacyjnego</t>
  </si>
  <si>
    <t>Zakup pompy do przepompowni</t>
  </si>
  <si>
    <t>Zakup wózka do przewożenia potraw</t>
  </si>
  <si>
    <t>Zakup zintegrowanego systemu do higieny osobistej i transportu osób niesamodzielnych, unieruchomionych w łóżku</t>
  </si>
  <si>
    <t>Dom Pomocy Społecznej Nowomiejska 19</t>
  </si>
  <si>
    <t>Wykonanie projektu instalacji elektrycznej w budynku Domu Pomocy Społecznej przy ulicy Nowomiejskiej 19</t>
  </si>
  <si>
    <t>Zakup macierzy 18-to dyskowej</t>
  </si>
  <si>
    <t xml:space="preserve">Miejski Ośrodek Pomocy Rodzinie </t>
  </si>
  <si>
    <t>POZOSTAŁE ZADANIA W ZAKRESIE POLITYKI SPOŁECZNEJ</t>
  </si>
  <si>
    <t>Program "Dach" - modernizacja pokrycia dachowego Jadłodajni "U Świętego Antoniego"</t>
  </si>
  <si>
    <t>Zakup mieszarki elektrycznej do mięsa i warzyw</t>
  </si>
  <si>
    <t>Miejska Jadłodajnia "U Św. Antoniego"</t>
  </si>
  <si>
    <t xml:space="preserve">Edukacyjna opieka wychowawcza </t>
  </si>
  <si>
    <t>6056, 6057, 6059</t>
  </si>
  <si>
    <t>Przebudowa budynku bursy szkolnej przy ul. Mechaników</t>
  </si>
  <si>
    <t>WPF 2022-2027</t>
  </si>
  <si>
    <t>Fund. Szwajc.</t>
  </si>
  <si>
    <t>Adaptacja pomieszczeń budynku Bursy Szkolnej nr 3 przy ul. Chopina 6 we Włocławku na salę sportów walki</t>
  </si>
  <si>
    <t>Zakup patelni elektrycznej z przechyłem misy ręcznej w ZPL Nr 1</t>
  </si>
  <si>
    <t>Zespół Placówek Nr 1</t>
  </si>
  <si>
    <t>Zakup urządzenia do zwalczania bakterii Legionelli w wodzie dla ZPL Nr 1</t>
  </si>
  <si>
    <t>Zakup komory chłodniczej dla ZPL Nr 1</t>
  </si>
  <si>
    <t>Wykonanie elewacji zewnętrznej i wymiana okien w budynku trzypiętrowym w MOW</t>
  </si>
  <si>
    <t>Modernizacja elewacji zewnętrznej i wymiana dachu na budynkach gospodarczych - demontaż i utylizacja eternitu falistego w MOW</t>
  </si>
  <si>
    <t>Modernizacja węzłów sanitarnych - łazienki, toalety, umywalnie, wymiana pionów wodnych i kanalizacyjnych w pomieszczeniach grup wychowawczych w internacie MOW</t>
  </si>
  <si>
    <t>Przebudowa poszycia dachowego wraz z obróbkami blacharskimi budynku internatu w MOW</t>
  </si>
  <si>
    <t>Zakup samochodu osobowego do przewozu wychowanków dla MOW</t>
  </si>
  <si>
    <t xml:space="preserve">Przebudowa Młodzieżowego Ośrodka Wychowawczego wraz z infrastrukturą towarzyszącą </t>
  </si>
  <si>
    <t>Przebudowa budynku żłobka przy ul. Żytniej 80</t>
  </si>
  <si>
    <t>Zakup windy gastronomiczno - towarowej dla żłobka przy ulicy Wienieckiej 34A we Włocławku</t>
  </si>
  <si>
    <t>Miejski Zespół Żłobków</t>
  </si>
  <si>
    <t>GOSPODARKA KOMUNALNA I OCHRONA ŚRODOWISKA</t>
  </si>
  <si>
    <t>Budowa PSZOK</t>
  </si>
  <si>
    <t xml:space="preserve">Zakup odchwaszczarki spalinowej </t>
  </si>
  <si>
    <t>Zakup traktora ogrodowego</t>
  </si>
  <si>
    <t>Zakup traktora do bieżących prac porządkowych</t>
  </si>
  <si>
    <t>Zakup przyczepy rolniczej</t>
  </si>
  <si>
    <t>Zakup ciągnika</t>
  </si>
  <si>
    <t>Zakup rozdrabniacza spalinowego na przyczepce</t>
  </si>
  <si>
    <t>Zakup tomografu dźwiękowego</t>
  </si>
  <si>
    <t>Dekarbonizacja systemu ciepłowniczego miasta - etap I</t>
  </si>
  <si>
    <t>Montaż pomp ciepła na terenie Schroniska dla Zwierząt</t>
  </si>
  <si>
    <t>Schronisko dla Zwierząt</t>
  </si>
  <si>
    <t>6050</t>
  </si>
  <si>
    <t>Poprawa efektywności energetycznej oświetlenia ulicznego na terenie miasta Włocławek</t>
  </si>
  <si>
    <t>WPF 2024-2030</t>
  </si>
  <si>
    <t>Dokumentacja projektowa na wymianę oświetlenia w Parku Łokietka</t>
  </si>
  <si>
    <t>Wymiana oświetlenia w ciągu pieszo - rowerowym przy Bulwarach we Włocławku</t>
  </si>
  <si>
    <t>Park Barska</t>
  </si>
  <si>
    <t>Park Grzywno - zagospodarowanie terenów zielonych na terenie dawnego osiedla Grzywno</t>
  </si>
  <si>
    <t>Fund. Szwajcar.</t>
  </si>
  <si>
    <t>Park Południa (Budżet Obywatelski 2022 r.)</t>
  </si>
  <si>
    <t>Przebudowa Parku im H. Sienkiewicza - część północna</t>
  </si>
  <si>
    <t>WPF 2024-2027</t>
  </si>
  <si>
    <t>Modernizacja miejskich placów zabaw</t>
  </si>
  <si>
    <t>Utworzenie grzebowiska dla zwierząt domowych</t>
  </si>
  <si>
    <t xml:space="preserve">Modernizacja dolnej części Bulwarów </t>
  </si>
  <si>
    <t>KULTURA I OCHRONA DZIEDZICTWA NARODOWEGO</t>
  </si>
  <si>
    <t>Dotacja  celowa na wkład własny do projektu pn. "Kultura w zasięgu 3.0" - Galeria Sztuki Współczesnej</t>
  </si>
  <si>
    <t>Galeria Sztuki Współczesnej</t>
  </si>
  <si>
    <t>Dotacja  celowa na wkład własny do projektu pn. "Kultura w zasięgu 3.0" - Centrum Kultury "Browar B."</t>
  </si>
  <si>
    <t>Centrum Kultury Browar B</t>
  </si>
  <si>
    <t>WPF 2026-2028</t>
  </si>
  <si>
    <t>Dotacja  celowa na wkład własny do projektu pn. "Kultura w zasięgu 3.0" - Teatr Impresaryjny im. W. Gniazdowskiego we Włocławku</t>
  </si>
  <si>
    <t>Teatr Impresaryjny</t>
  </si>
  <si>
    <t>Dotacja  celowa na wkład własny do projektu pn. "Kultura w zasięgu 3.0" - Miejska Biblioteka Publiczna im. Z. Arentowicza we Włocławku</t>
  </si>
  <si>
    <t>Biblioteka</t>
  </si>
  <si>
    <t>KULTURA FIZYCZNA</t>
  </si>
  <si>
    <t>Budowa osiedlowego placu zabaw na osiedlu Rybnica wraz z siłownią zewnętrzną i boiskiem wielofunkcyjnym (Budżet Obywatelski z 2025 r.) oraz Parkiem Rybica</t>
  </si>
  <si>
    <t>Budowa singletracka na Zawiślu</t>
  </si>
  <si>
    <t>Budowa lodowiska przy Zespole Szkół Samochodowych</t>
  </si>
  <si>
    <t>Przebudowa Stadionu Przylesie na osiedlu Zazamcze we Włocławku</t>
  </si>
  <si>
    <t>Program "Orlik" - budowa i przebudowa boisk na terenie miasta Włocławek</t>
  </si>
  <si>
    <t>Rozbudowa pumptracka i skateparku na Słodowie</t>
  </si>
  <si>
    <t>Boisko do streetball na każdym osiedlu</t>
  </si>
  <si>
    <t>Modernizacja i przebudowa terenów i obiektów należących do Ośrodka Sportu i Rekreacji we Włocławku</t>
  </si>
  <si>
    <t xml:space="preserve">Ośrodek Sportu i Rekreacji </t>
  </si>
  <si>
    <t>Zakupy inwestycyjne na potrzeby Ośrodka Sportu i Rekreacji we Włocławku</t>
  </si>
  <si>
    <t>REZERWA INWESTYCYJNA</t>
  </si>
  <si>
    <t>X</t>
  </si>
  <si>
    <t>Prezydenci</t>
  </si>
  <si>
    <t>Budżet Obywatelski 2026 - rezerwa</t>
  </si>
  <si>
    <t>Załącznik Nr 4</t>
  </si>
  <si>
    <t>do UCHWAŁY NR  XXVII/137/2025</t>
  </si>
  <si>
    <t>Wydatki na programy i projekty realizowane ze środków pochodzących z funduszy strukturalnych i Funduszu Spójności</t>
  </si>
  <si>
    <t xml:space="preserve">
</t>
  </si>
  <si>
    <t xml:space="preserve">Wydatki
</t>
  </si>
  <si>
    <t>w okresie</t>
  </si>
  <si>
    <t>2025 rok</t>
  </si>
  <si>
    <t>Klasyfikacja</t>
  </si>
  <si>
    <t>realizacji</t>
  </si>
  <si>
    <t>Lp.</t>
  </si>
  <si>
    <t>Program/Projekt</t>
  </si>
  <si>
    <t xml:space="preserve"> (dział, </t>
  </si>
  <si>
    <t>Projektu</t>
  </si>
  <si>
    <t>rozdział)</t>
  </si>
  <si>
    <t>(całkowita wartość Projektu)</t>
  </si>
  <si>
    <t>Środki z budżetu krajowego*</t>
  </si>
  <si>
    <t>Środki z budżetu UE</t>
  </si>
  <si>
    <t>Wydatki razem (8+9)</t>
  </si>
  <si>
    <t>(5 + 6)</t>
  </si>
  <si>
    <t>Wydatki ogółem:</t>
  </si>
  <si>
    <t>wydatki bieżące</t>
  </si>
  <si>
    <t>wydatki majątkowe</t>
  </si>
  <si>
    <t>1</t>
  </si>
  <si>
    <t xml:space="preserve"> FUNDUSZE EUROPEJSKIE DLA KUJAW I POMORZA 2021 -  2027</t>
  </si>
  <si>
    <t>1.1</t>
  </si>
  <si>
    <t>w tym: /Urząd Miasta/</t>
  </si>
  <si>
    <t>dz. 600</t>
  </si>
  <si>
    <t>WPF</t>
  </si>
  <si>
    <t>rozdz. 60004</t>
  </si>
  <si>
    <t>1.2</t>
  </si>
  <si>
    <t>w tym: /Miejski Zarząd Dróg i Zieleni/</t>
  </si>
  <si>
    <t>1.3</t>
  </si>
  <si>
    <t>rozdz. 60015</t>
  </si>
  <si>
    <t>1.4</t>
  </si>
  <si>
    <t>1.5</t>
  </si>
  <si>
    <t>dz. 750</t>
  </si>
  <si>
    <t>rozdz. 75095</t>
  </si>
  <si>
    <t>1.6</t>
  </si>
  <si>
    <t>1.7</t>
  </si>
  <si>
    <t xml:space="preserve">Dostosowanie kształcenia ogólnego do potrzeb rynku pracy I ETAP </t>
  </si>
  <si>
    <t>w tym: /Urząd Miasta, Licea/</t>
  </si>
  <si>
    <t>dz. 801</t>
  </si>
  <si>
    <t>rozdz. 80195</t>
  </si>
  <si>
    <t>1.8</t>
  </si>
  <si>
    <t xml:space="preserve">Dostosowanie kształcenia ogólnego do potrzeb rynku pracy II ETAP </t>
  </si>
  <si>
    <t>w tym: /Urząd Miasta, Szkoły Podstawowe/</t>
  </si>
  <si>
    <t>1.9</t>
  </si>
  <si>
    <t>Dostosowanie kształcenia zawodowego do potrzeb rynku pracy</t>
  </si>
  <si>
    <t>w tym: /Urząd Miasta, Jednostki Oświatowe Zbiorczo/</t>
  </si>
  <si>
    <t>1.10</t>
  </si>
  <si>
    <t>Klucz do uczenia 3.0</t>
  </si>
  <si>
    <t>1.11</t>
  </si>
  <si>
    <t>Kierunek zawód</t>
  </si>
  <si>
    <t xml:space="preserve">WPF </t>
  </si>
  <si>
    <t>1.12</t>
  </si>
  <si>
    <t>Wykluczenie nie ma MOWy! 2 - etap I</t>
  </si>
  <si>
    <t>w tym: /Młodzieżowy Ośrodek Wychowawczy/</t>
  </si>
  <si>
    <t>dz. 852</t>
  </si>
  <si>
    <t>rozdz. 85295</t>
  </si>
  <si>
    <t>1.13</t>
  </si>
  <si>
    <t>Rodzina w Centrum - Etap I</t>
  </si>
  <si>
    <t>w tym: /Miejski Ośrodek Pomocy Rodzinie/</t>
  </si>
  <si>
    <t>dz. 855</t>
  </si>
  <si>
    <t>rozdz. 85595</t>
  </si>
  <si>
    <t>1.14</t>
  </si>
  <si>
    <t>Kujawsko - Pomorska Teleopieka Etap I</t>
  </si>
  <si>
    <t>dz. 853</t>
  </si>
  <si>
    <t>rozdz. 85395</t>
  </si>
  <si>
    <t>1.15</t>
  </si>
  <si>
    <t>Pokonaj kryzys</t>
  </si>
  <si>
    <t>1.16</t>
  </si>
  <si>
    <t xml:space="preserve"> rozdz. 75023</t>
  </si>
  <si>
    <t>1.17</t>
  </si>
  <si>
    <t>1.18</t>
  </si>
  <si>
    <t>dz. 921</t>
  </si>
  <si>
    <t xml:space="preserve"> rozdz. 92110</t>
  </si>
  <si>
    <t>1.19</t>
  </si>
  <si>
    <t xml:space="preserve"> rozdz. 92113</t>
  </si>
  <si>
    <t>1.20</t>
  </si>
  <si>
    <t xml:space="preserve"> rozdz. 92114</t>
  </si>
  <si>
    <t>1.21</t>
  </si>
  <si>
    <t xml:space="preserve"> rozdz. 92116</t>
  </si>
  <si>
    <t>FUNDUSZE EUROPEJSKIE DLA ROZWOJU SPOŁECZNEGO</t>
  </si>
  <si>
    <t>2.1</t>
  </si>
  <si>
    <t>Budowa skoordynowanego systemu pomocy specjalistycznej opartego na Specjalistycznych Centrach Wspierających Edukację Włączającą - I edycja</t>
  </si>
  <si>
    <t>w tym: /Zespół Szkół Nr 3/</t>
  </si>
  <si>
    <t>dz. 800</t>
  </si>
  <si>
    <t>2.2</t>
  </si>
  <si>
    <t>Budowa skoordynowanego systemu pomocy specjalistycznej opartego na Specjalistycznych Centrach Wspierających Edukację Włączającą - II edycja</t>
  </si>
  <si>
    <t>w tym: //Zespół Szkół Nr 3//</t>
  </si>
  <si>
    <t>2.3</t>
  </si>
  <si>
    <t>dz. 700</t>
  </si>
  <si>
    <t>rozdz. 70007</t>
  </si>
  <si>
    <t>FUNDUSZE EUROPEJSKIE NA ROZWÓJ CYFROWY 2021-2027</t>
  </si>
  <si>
    <t>3.1</t>
  </si>
  <si>
    <t>rozdz. 75023</t>
  </si>
  <si>
    <t>4</t>
  </si>
  <si>
    <t>Krajowy Plan Odbudowy</t>
  </si>
  <si>
    <t>4.1</t>
  </si>
  <si>
    <t>4.2</t>
  </si>
  <si>
    <t>rozdz. 70095</t>
  </si>
  <si>
    <t>4.3</t>
  </si>
  <si>
    <t>4.4</t>
  </si>
  <si>
    <t>Dokapitalizowanie Miejskiego Towarzystwa Budownictwa Społecznego Sp. z o.o. na realizację zadania "Budowa zespołu czterech budynków mieszkalnych wielorodzinnych z lokalami usługowymi, garażem podziemnym oraz zagospodarowaniem terenu, wraz z rozbiórką istniejącego budynku mieszkalnego jednorodzinnego przy ul. Cyganka we Włocławku"</t>
  </si>
  <si>
    <t>rozdz. 70021</t>
  </si>
  <si>
    <t>FUNDUSZE EUROPEJSKIE NA INFRASTRUKTURĘ, KLIMAT, ŚRODOWISKO  2021-2027</t>
  </si>
  <si>
    <t>5.1</t>
  </si>
  <si>
    <t>rozdz. 60016</t>
  </si>
  <si>
    <t>5.2</t>
  </si>
  <si>
    <t>Polsko-Szwajcarski Program Rozwoju Miast</t>
  </si>
  <si>
    <t>6.1</t>
  </si>
  <si>
    <t>6.2</t>
  </si>
  <si>
    <t>6.3</t>
  </si>
  <si>
    <t>dz. 854</t>
  </si>
  <si>
    <t>rozdz. 85410</t>
  </si>
  <si>
    <t>6.4</t>
  </si>
  <si>
    <t>dz. 900</t>
  </si>
  <si>
    <t>rozdz. 90095</t>
  </si>
  <si>
    <t>6.5</t>
  </si>
  <si>
    <t>6.6</t>
  </si>
  <si>
    <t>Włocławek miastem bioróżnorodnym</t>
  </si>
  <si>
    <t>7</t>
  </si>
  <si>
    <t>ERASMUS +</t>
  </si>
  <si>
    <t>7.1</t>
  </si>
  <si>
    <t>Erasmus+ Akcja KA1 pn. "Praktyki międzynarodowe gwarantem lepszego startu w życiu zawodowym"</t>
  </si>
  <si>
    <t>w tym: /Zespół Szkół Samochodowych/</t>
  </si>
  <si>
    <t>* środki własne jst, współfinansowanie z budżetu państwa oraz inne</t>
  </si>
  <si>
    <t>Załącznik Nr 5</t>
  </si>
  <si>
    <t>Przychody i rozchody budżetu na 2026 rok</t>
  </si>
  <si>
    <t>Treść</t>
  </si>
  <si>
    <t>Klasyfikacja
§</t>
  </si>
  <si>
    <t>Kwota na 2026 rok</t>
  </si>
  <si>
    <t>deficyt</t>
  </si>
  <si>
    <t>Przychody ogółem:</t>
  </si>
  <si>
    <t>1.</t>
  </si>
  <si>
    <t>Przychody z zaciągniętych pożyczek i kredytów na rynku krajowym</t>
  </si>
  <si>
    <t>§ 952</t>
  </si>
  <si>
    <t>a)</t>
  </si>
  <si>
    <t>na pokrycie deficytu</t>
  </si>
  <si>
    <t>b)</t>
  </si>
  <si>
    <t>na spłatę długu</t>
  </si>
  <si>
    <t>2.</t>
  </si>
  <si>
    <t>Przychody z zaciągniętych pożyczek na finansowanie zadań realizowanych z udziałem środków pochodzących z budżetu UE</t>
  </si>
  <si>
    <t>§ 903</t>
  </si>
  <si>
    <t>3.</t>
  </si>
  <si>
    <t xml:space="preserve">Przychody jst z niewykorzystanych środków pieniężnych na rachunku bieżącym budżetu, wynikających z rozlicz. dochodów i wydatków nimi finansowanych związanych ze szczególnymi zasadami wykonywania budżetu  </t>
  </si>
  <si>
    <t>§ 905</t>
  </si>
  <si>
    <t>art..217 ust. 2 pkt 8</t>
  </si>
  <si>
    <t>4.</t>
  </si>
  <si>
    <t>Przychody jst z wynikających z rozlicz. środków określonych w art. 5 ust. 1 pkt 2 ustawy i dotacji na realizację programu, projektu lub zadania finansowanego z udziałem tych środków</t>
  </si>
  <si>
    <t>§ 906</t>
  </si>
  <si>
    <t>5.</t>
  </si>
  <si>
    <t>Przychody jednostek samorządu terytorialnego z tytułu zaciągniętych pożyczek i kredytów oraz wyemitowanych papierów wartościowych na spłatę wcześniej zaciągniętych zobowiązań</t>
  </si>
  <si>
    <t>§ 907</t>
  </si>
  <si>
    <t>6.</t>
  </si>
  <si>
    <t>Przychody ze spłat pożyczek i kredytów udzielonych ze środk. publ.</t>
  </si>
  <si>
    <t>§ 951</t>
  </si>
  <si>
    <t>7.</t>
  </si>
  <si>
    <t>Pozostałe przychody z prywatyzacji</t>
  </si>
  <si>
    <t>§ 944</t>
  </si>
  <si>
    <t>8.</t>
  </si>
  <si>
    <t>Nadwyżki z lat ubiegłych</t>
  </si>
  <si>
    <t>§ 957</t>
  </si>
  <si>
    <t>razem 3, 4, 9a</t>
  </si>
  <si>
    <t>9.</t>
  </si>
  <si>
    <t>Przychody ze sprzedaży innych papierów wartościowych</t>
  </si>
  <si>
    <t>§ 931</t>
  </si>
  <si>
    <t>10.</t>
  </si>
  <si>
    <t>Wolne środki, o których mowa w art. 217 ust. 2 pkt 6 ustawy</t>
  </si>
  <si>
    <t>§ 950</t>
  </si>
  <si>
    <t>art..217 ust. 2 pkt 6</t>
  </si>
  <si>
    <t>11.</t>
  </si>
  <si>
    <t>Przelewy z rachunków lokat</t>
  </si>
  <si>
    <t>§ 994</t>
  </si>
  <si>
    <t>Rozchody ogółem:</t>
  </si>
  <si>
    <t>Spłaty otrzymanych krajowych  pożyczek i kredytów, w tym:</t>
  </si>
  <si>
    <t>§ 992</t>
  </si>
  <si>
    <t>na realizację  programów i projektów z udziałem środków unijnych</t>
  </si>
  <si>
    <t>Spłaty pożyczek otrzymanych na finansowanie zadań realizowanych z udziałem środków pochodzących z budżetu UE</t>
  </si>
  <si>
    <t>§ 963</t>
  </si>
  <si>
    <t>Wcześniejsza spłata istniejącego długu jednostek samorządu terytorialnego</t>
  </si>
  <si>
    <t>§ 965</t>
  </si>
  <si>
    <t>Udzielone pożyczki i kredyty</t>
  </si>
  <si>
    <t>§ 991</t>
  </si>
  <si>
    <t>Przelewy na rachunki lokat</t>
  </si>
  <si>
    <t>Wykup innych papierów wartościowych</t>
  </si>
  <si>
    <t>§ 982</t>
  </si>
  <si>
    <t>Rozchody z tytułu innych rozliczeń krajowych</t>
  </si>
  <si>
    <t>§ 995</t>
  </si>
  <si>
    <t>Załącznik Nr 6</t>
  </si>
  <si>
    <t>Dochody i wydatki związane z realizacją zadań z zakresu administracji rządowej wykonywanych na podstawie porozumień z organami administracji rządowej na 2026 rok</t>
  </si>
  <si>
    <t>Rozdział</t>
  </si>
  <si>
    <t>Dotacje
ogółem</t>
  </si>
  <si>
    <t>Wydatki
ogółem
(6+9)</t>
  </si>
  <si>
    <t>Wydatki
bieżące</t>
  </si>
  <si>
    <t>wynagrodzenia i składki od nich naliczane</t>
  </si>
  <si>
    <t>świadczenia na rzecz osób fizycznych</t>
  </si>
  <si>
    <t>Wydatki
majątkowe</t>
  </si>
  <si>
    <t>Ogółem:</t>
  </si>
  <si>
    <t>Załącznik Nr 7</t>
  </si>
  <si>
    <t xml:space="preserve">Dochody i wydatki związane z realizacją zadań wykonywanych na podstawie porozumień (umów) </t>
  </si>
  <si>
    <t>między jednostkami samorządu terytorialnego na 2026 rok</t>
  </si>
  <si>
    <t>Dotacje</t>
  </si>
  <si>
    <t>Wydatki</t>
  </si>
  <si>
    <t>(6 + 10)</t>
  </si>
  <si>
    <t>Wydatki majątkowe</t>
  </si>
  <si>
    <t>Załącznik Nr 8</t>
  </si>
  <si>
    <t xml:space="preserve">Dochody przekazywane do budżetu państwa, </t>
  </si>
  <si>
    <t>uzyskiwane z realizacji zadań z zakresu administracji rządowej w 2026 roku</t>
  </si>
  <si>
    <t>Plan</t>
  </si>
  <si>
    <t>Budżet</t>
  </si>
  <si>
    <t>państwa</t>
  </si>
  <si>
    <t>gminy</t>
  </si>
  <si>
    <t>§ 2350</t>
  </si>
  <si>
    <t>§ 2360</t>
  </si>
  <si>
    <t>wpływy z opłat za trwały zarząd, użytkowanie i służebności</t>
  </si>
  <si>
    <t xml:space="preserve">wpływy z tytułu przekształcenia prawa użytkowania </t>
  </si>
  <si>
    <t>wieczystego przysługującego osobom fizycznym w prawo</t>
  </si>
  <si>
    <t>własności</t>
  </si>
  <si>
    <t xml:space="preserve">wpłaty z tytułu odpłatnego nabycia prawa własności </t>
  </si>
  <si>
    <t>oraz prawa użytkowania wieczystego nieruchomości</t>
  </si>
  <si>
    <t xml:space="preserve">Nadzór budowlany </t>
  </si>
  <si>
    <t xml:space="preserve">wpływy z różnych opłat </t>
  </si>
  <si>
    <t>alimentacyjnego oraz składki na ubezpieczenia emerytalne</t>
  </si>
  <si>
    <t xml:space="preserve">i rentowe z ubezpieczenia społecznego </t>
  </si>
  <si>
    <t>0980</t>
  </si>
  <si>
    <t xml:space="preserve">wpływy z tytułu zwrotów wypłaconych świadczeń </t>
  </si>
  <si>
    <t>z funduszu alimentacyjnego</t>
  </si>
  <si>
    <t>Załącznik Nr 9</t>
  </si>
  <si>
    <t xml:space="preserve">Dotacje udzielane z budżetu jednostki samorządu terytorialnego </t>
  </si>
  <si>
    <t>dla jednostek sektora finansów publicznych na 2026 rok</t>
  </si>
  <si>
    <t xml:space="preserve">§ </t>
  </si>
  <si>
    <t>Nazwa zadania</t>
  </si>
  <si>
    <t>Kwota dotacji</t>
  </si>
  <si>
    <t>dotacje celowe</t>
  </si>
  <si>
    <r>
      <t xml:space="preserve">Programy polityki zdrowotnej </t>
    </r>
    <r>
      <rPr>
        <b/>
        <sz val="9"/>
        <rFont val="Arial CE"/>
        <charset val="238"/>
      </rPr>
      <t>*</t>
    </r>
  </si>
  <si>
    <t>Przeciwdziałanie alkoholizmowi (dofinansowanie "Niebieskiej linii")</t>
  </si>
  <si>
    <t>Przeciwdziałanie alkoholizmowi (realizacja zadań z zakresu profilaktyki uzależnień)</t>
  </si>
  <si>
    <t xml:space="preserve">Powiatowe urzędy pracy </t>
  </si>
  <si>
    <t>Galerie i biura wystaw artystycznych (dotacja na inwestycje)</t>
  </si>
  <si>
    <t xml:space="preserve"> - Galeria Sztuki Współczesnej</t>
  </si>
  <si>
    <t xml:space="preserve"> - Centrum Kultury Browar B </t>
  </si>
  <si>
    <t>Centra kultury i sztuki (dotacja na inwestycje)</t>
  </si>
  <si>
    <t>Pozostałe instytucje kultury (dotacja na inwestycje)</t>
  </si>
  <si>
    <t xml:space="preserve"> - Teatr Impresaryjny</t>
  </si>
  <si>
    <t xml:space="preserve"> - Miejska Biblioteka Publiczna</t>
  </si>
  <si>
    <t>Biblioteki (dotacja na inwestycje)</t>
  </si>
  <si>
    <t>dotacje podmiotowe</t>
  </si>
  <si>
    <t xml:space="preserve"> - Zakład Aktywności Zawodowej</t>
  </si>
  <si>
    <t xml:space="preserve"> - Centrum Kultury Browar B</t>
  </si>
  <si>
    <t>* Po zawarciu umów z konkretnymi realizatorami programów polityki zdrowotnej i podziale planu wg formy organizacyjnej podmiotu leczniczego (jsfp i jssfp)</t>
  </si>
  <si>
    <t xml:space="preserve">  kwota dotacji będzie odpowiednio aktualizowana.</t>
  </si>
  <si>
    <t>Załącznik Nr 10</t>
  </si>
  <si>
    <t>dla jednostek spoza sektora finansów publicznych na 2026 rok</t>
  </si>
  <si>
    <t>2837    2839   6237   6239</t>
  </si>
  <si>
    <t>Realizacja projektu unijnego "Społeczna Agencja Najmu szansą dla mieszkańców Włocławka na bezpieczny i stabilny najem"</t>
  </si>
  <si>
    <t>Dotacje do prac budowlanych w ramach rewitalizacji (dotacja na inwestycje)</t>
  </si>
  <si>
    <t>Pozostała działalność (prowadzenie Kawiarni Obywatelskiej "Śródmieście Cafe")</t>
  </si>
  <si>
    <t>Nieodpłatna pomoc prawna - zadanie rządowe</t>
  </si>
  <si>
    <t>2837    2839</t>
  </si>
  <si>
    <t>Realizacja projektu unijnego "Dostosowanie kształcenia ogólnego do potrzeb rynku pracy I ETAP" (licea)</t>
  </si>
  <si>
    <t>Realizacja projektu unijnego "Dostosowanie kształcenia ogólnego do potrzeb rynku pracy II ETAP" (szkoły podstawowe)</t>
  </si>
  <si>
    <t>Realizacja projektu unijnego  "Dostosowanie kształcenia zawodowego do potrzeb rynku pracy"</t>
  </si>
  <si>
    <t>Dofinansowanie programów dotyczących uzależnień, pozalekcyjnych zajęć sportowych (przeciwdzialanie alkoholizmowi)</t>
  </si>
  <si>
    <t>Pozostała działalność (promocja i ochrona zdrowia oraz działania na rzecz osób niepełnosprawnych)</t>
  </si>
  <si>
    <t>Zapewnienie schronienia osobom bezdomnym (wypłata dodatku motywacyjnego dla pracowników schroniska dla osób bezdomnych w ramach programu rządowego)</t>
  </si>
  <si>
    <t>Usługi opiekuńcze i specjalistyczne usługi opiekuńcze - ogółem, z tego:</t>
  </si>
  <si>
    <t>13.1</t>
  </si>
  <si>
    <t xml:space="preserve"> - zadania własne</t>
  </si>
  <si>
    <t>13.2</t>
  </si>
  <si>
    <t xml:space="preserve"> - zadania zlecone</t>
  </si>
  <si>
    <t>Zapewnienie schronienia osobom bezdomnym (pozostała działalność)</t>
  </si>
  <si>
    <t>Pozostała działalność (aktywizacja społeczna seniorów, podnoszenie poziomu bezpieczeństwa i poprawa warunków funkcjonowania seniorów)</t>
  </si>
  <si>
    <t>2360                  2830</t>
  </si>
  <si>
    <t>Ochrona powietrza atmosferycznego i klimatu (zadania w zakresie ekologii i ochrony zwierząt oraz ochrony dziedzictwa przyrodniczego)</t>
  </si>
  <si>
    <t>2366   2367</t>
  </si>
  <si>
    <t>Realizacja projektu unijnego  "Włocławek miastem bioróżnorodnym"</t>
  </si>
  <si>
    <t>Upowszechnianie kultury, sztuki, ochrony dóbr kultury i tradycji przez organizacje prowadzące działalność pożytku publicznego (pozostała działalność)</t>
  </si>
  <si>
    <t>Zadania w zakresie kultury fizycznej</t>
  </si>
  <si>
    <t>Razem</t>
  </si>
  <si>
    <t>Nazwa placówki/nazwa podmiotu</t>
  </si>
  <si>
    <t>2540        2590</t>
  </si>
  <si>
    <t>Publiczna Szkoła Podstawowa im. Ks. J. Długosza</t>
  </si>
  <si>
    <t xml:space="preserve">Szkoła Podstawowa Nr 24 w Zespole Szkół WSO "Cogito" </t>
  </si>
  <si>
    <t>Akademicka Szkoła Podstawowa Nr 1 im. Obrońców Wisły 1920 roku we Włocławku</t>
  </si>
  <si>
    <t>Akademicka Szkoła Podstawowa Mistrzostwa Sportowego Nr 1          im. Obrońców Wisły 1920 roku we Włocławku</t>
  </si>
  <si>
    <t>Szkoła Podstawowa z oddziałami dwujęzycznymi Monttessori-     Schule</t>
  </si>
  <si>
    <t>Niepubliczne Przedszkole "Skakanka"</t>
  </si>
  <si>
    <t>Przedszkole Niepubliczne "Chatka Puchatka"</t>
  </si>
  <si>
    <t>Niepubliczne Przedszkole "Smerfna Chata"</t>
  </si>
  <si>
    <t>Przedszkole Niepubliczne "Tęczowa Kraina"</t>
  </si>
  <si>
    <t>Niepubliczne Przedszkole "Na Wspólnej"</t>
  </si>
  <si>
    <t>Centrum Malucha - "Piotruś Pan"- Przedszkole Niepubliczne</t>
  </si>
  <si>
    <t>Niepubliczne Przedszkole "Domowe Przedszkole"</t>
  </si>
  <si>
    <t>Niepubliczne Przedszkole "Bajeczka" Kinga Mizak Aneta Kryczka s.c.</t>
  </si>
  <si>
    <t>Przedszkole Niepubliczne "Happy Kids"</t>
  </si>
  <si>
    <t>Przedszkole Niepubliczne "Kujawiaczek"</t>
  </si>
  <si>
    <t>Niepubliczne Przedszkole "Sensosmyki"</t>
  </si>
  <si>
    <t>Niepubliczne Przedszkole Leśne "Gniazdko Wilgi"</t>
  </si>
  <si>
    <t xml:space="preserve">Przedszkole Publiczne Nr 1 </t>
  </si>
  <si>
    <t>Katolickie Publiczne Przedszkole "Pod Aniołem Stróżem"</t>
  </si>
  <si>
    <t>Inne formy wychowania przedszkolnego - punkty przedszkolne</t>
  </si>
  <si>
    <t>Niepubliczny Punkt Przedszkolny "Kraina Bajek"</t>
  </si>
  <si>
    <t>Akademickie Technikum Wojskowe im. Obrońców Wisły 1920 roku we Włocławku</t>
  </si>
  <si>
    <t>Policealna Szkoła "Cosinus Plus" we Włocławku</t>
  </si>
  <si>
    <t>Policealna Szkoła Techników Ochrony Fizycznej Osób i Mienia Elitarne Studium Służb Ochrony "Delta"</t>
  </si>
  <si>
    <t>Zaoczna Policealna Szkoła Zawodowa "Pascal" we Włocławku</t>
  </si>
  <si>
    <t>Stacjonarna Policealna Szkoła Medyczna "Pascal" we Włocławku</t>
  </si>
  <si>
    <t>Policealna Szkoła Medyczna "Pascal"</t>
  </si>
  <si>
    <t>Policealna Szkoła Centrum Nauki i Biznesu "Żak"</t>
  </si>
  <si>
    <t xml:space="preserve">Szkoła Policealna "Spectrum" </t>
  </si>
  <si>
    <t>Policealna Szkoła Futuro</t>
  </si>
  <si>
    <t>Szkoła Policealna Opieki Medycznej "Żak"</t>
  </si>
  <si>
    <t>Akademicka Szkoła Policealna przy Kujawskiej Szkole Wyższej we Włocławku</t>
  </si>
  <si>
    <t>Branżowe szkoły I stopnia</t>
  </si>
  <si>
    <t>Branżowa Szkoła I Stopnia IMPULS</t>
  </si>
  <si>
    <t xml:space="preserve">Branżowa Szkoła I Stopnia nr 9 w Zespole Szkół Włocławskiego Stowarzyszenia Oświatowego "Cogito" </t>
  </si>
  <si>
    <t>Akademickie Liceum Ogólnokształcące nr 1 im. Obrońców Wisły 1920 roku we Włocławku</t>
  </si>
  <si>
    <t>Akademickie Liceum Ogólnokształcące Mistrzostwa Sportowego nr 1 im. Obrońców Wisły 1920 roku we Włocławku</t>
  </si>
  <si>
    <t>Liceum Ogólnokształcące Montessorii</t>
  </si>
  <si>
    <t>Publiczne Liceum Ogólnokształcące im. Ks. J. Długosza</t>
  </si>
  <si>
    <t>Liceum Ogólnokształcące dla Dorosłych Futuro</t>
  </si>
  <si>
    <t>Prywatne Liceum Ogólnokształcące dla Dorosłych (Katarzyna Balcer)</t>
  </si>
  <si>
    <t>Liceum Ogólnokształcące dla Dorosłych "Pascal' we Włocławku</t>
  </si>
  <si>
    <t xml:space="preserve">Liceum Ogólnokształcące "Spectrum" we Włocławku </t>
  </si>
  <si>
    <t>Liceum Ogólnokształcące dla Dorosłych "Żak"</t>
  </si>
  <si>
    <t>Publiczne Liceum Ogólnokształcące dla Dorosłych "Cosinus Plus"</t>
  </si>
  <si>
    <t>Realizacja zadań wymagających stosowania specjalnej organizacji nauki i metod pracy dla dzieci w przedszkolach, oddziałach przedszkolnych w szkołach podstawowych i innych formach wychowania przedszkolnego</t>
  </si>
  <si>
    <t>Terapeutyczny Punkt Przedszkolny Neuromind</t>
  </si>
  <si>
    <t>Terapeutyczny Punkt Przedszkolny "Synapsik"</t>
  </si>
  <si>
    <t>Terapeutyczny Punkt Przedszkolny "Zielony Słonik"</t>
  </si>
  <si>
    <t>Realizacja zadań wymagających stosowania specjalnej organizacji nauki i metod pracy dla dzieci i młodzieży w szkołach podstawowych</t>
  </si>
  <si>
    <t>Szkoła Podstawowa z oddziałami dwujęzycznymi Monttessori-      Schule</t>
  </si>
  <si>
    <t>Szkoła Policealna "Cosinus Plus" we Włocławku</t>
  </si>
  <si>
    <t>Realizacja zadań wymagających stosowania specjalnej organizacji nauki i metod pracy dla dzieci i młodzieży w gimnazjach, klasach dotychczasowego gimnazjum prowadzonych w szkołach innego typu, liceach ogólnokształcących, technikach, szkołach policealnych, branżowych szkołach I i II  stopnia i klasach dotychczasowej zasadniczej szkoły zawodowej prowadzonych w branżowych szkołach I stopnia oraz szkołach artystycznych</t>
  </si>
  <si>
    <t>Rehabilitacja zawodowa i społeczna osób niepełnosprawnych</t>
  </si>
  <si>
    <t>Warsztaty Terapii Zajęciowej</t>
  </si>
  <si>
    <t>Specjalny Ośrodek Wychowawczy Zgromadzenia Sióstr Orionistek</t>
  </si>
  <si>
    <t>Poradnie psychologiczno - pedagogiczne, w tym poradnie specjalistyczne</t>
  </si>
  <si>
    <t>Poradnia Psychologiczno - Pedagogiczna "Vitamed"</t>
  </si>
  <si>
    <t>Internat Zespołu Szkół Katolickich im. Ks. J. Długosza</t>
  </si>
  <si>
    <t>Załącznik Nr 11</t>
  </si>
  <si>
    <t xml:space="preserve">Plan </t>
  </si>
  <si>
    <t xml:space="preserve"> dochodów i wydatków wydzielonych rachunków dochodów oświatowych jednostek budżetowych na 2026 rok</t>
  </si>
  <si>
    <t>(zbiorczo)</t>
  </si>
  <si>
    <t>Wyszczególnienie</t>
  </si>
  <si>
    <t>Stan środków pieniężnych na początek roku</t>
  </si>
  <si>
    <t>Stan środków pieniężnych na koniec roku</t>
  </si>
  <si>
    <t>Dochody</t>
  </si>
  <si>
    <t>Ogółem dochody i wydatki na zadania gminy</t>
  </si>
  <si>
    <t xml:space="preserve">Szkoły artystyczne </t>
  </si>
  <si>
    <t>Placówki kształcenia ustawicznego i centra kształcenia zawodowego</t>
  </si>
  <si>
    <t>Inne formy kształcenia osobno niewymienione</t>
  </si>
  <si>
    <t xml:space="preserve">Poradnie psychologiczno-pedagogiczne, w tym poradnie specjalistyczne </t>
  </si>
  <si>
    <t>Ogółem dochody i wydatki na zadania powiatu</t>
  </si>
  <si>
    <t xml:space="preserve">Ogółem dochody i wydatki </t>
  </si>
  <si>
    <t>Załącznik Nr 12</t>
  </si>
  <si>
    <t>Plan przychodów i kosztów</t>
  </si>
  <si>
    <t>Samorządowego Zakładu Budżetowego - Zakład Aktywności Zawodowej we Włocławku</t>
  </si>
  <si>
    <t>Stan środków obrotowych na początek roku</t>
  </si>
  <si>
    <t>Przychody</t>
  </si>
  <si>
    <t>Stan środków obrotowych na koniec roku</t>
  </si>
  <si>
    <t>Koszty</t>
  </si>
  <si>
    <t>Ogółem</t>
  </si>
  <si>
    <t>W tym dotacje z budżetu</t>
  </si>
  <si>
    <t>Inne obciążenia</t>
  </si>
  <si>
    <t xml:space="preserve">Samorządowy Zakład Budżetowy - Zakład </t>
  </si>
  <si>
    <t>Aktywności Zawodowej we Włocławku</t>
  </si>
  <si>
    <t>Załącznik Nr 13</t>
  </si>
  <si>
    <t xml:space="preserve">Wydatki na zadania w zakresie ochrony środowiska </t>
  </si>
  <si>
    <t>i gospodarki wodnej na 2026 rok finansowane z wpływów z tytułu opłat i kar</t>
  </si>
  <si>
    <t>za korzystanie ze środowiska</t>
  </si>
  <si>
    <t>Kwota</t>
  </si>
  <si>
    <t>Dofinansowanie wyjazdów dzieci i młodzieży w ramach "Zielonych szkół"</t>
  </si>
  <si>
    <t>Utrzymanie zieleni w miastach (w tym: utrzymanie i pielęgnacja pomników przyrody)</t>
  </si>
  <si>
    <t>Strategiczna mapa hałasu dla Gminy Miasto Włocławek wraz z opracowniem założeń do programu ochrony środkowiska przed hałasem</t>
  </si>
  <si>
    <t>Opracownie Miejskiego Planu Adaptacji do zmian klimatu (MPA)</t>
  </si>
  <si>
    <t>Przedsięwzięcia związane z ochroną powietrza - prowadzenie punktu konsultacyjno - informacyjnego dla Programu "Czyste powietrze"</t>
  </si>
  <si>
    <t>Pozostałe działania związane z gospodarką odpadami - utylizacja wyrobów zawierających azbest</t>
  </si>
  <si>
    <t xml:space="preserve">Zwalczanie owadów </t>
  </si>
  <si>
    <t>Wydatki z zakresu ochrony środowiska (w tym: edukacja ekologiczna, opracowania, opinie i ekspertyzy)</t>
  </si>
  <si>
    <t>Załącznik Nr 14</t>
  </si>
  <si>
    <t>Plan dochodów i wydatków na wydzielonym rachunku dotyczącym przeciwdziałania COVID-19</t>
  </si>
  <si>
    <t xml:space="preserve">Dział </t>
  </si>
  <si>
    <t>Dochody na 2026 rok</t>
  </si>
  <si>
    <t>Wydatki na 2026 rok</t>
  </si>
  <si>
    <t xml:space="preserve">Rekonstrukcja jezdni i chodnika na moście stalowym wraz z zabezpieczeniem antykorozyjnym mostu i iluminacją </t>
  </si>
  <si>
    <t xml:space="preserve"> - dofinansowanie z Rządowego Funduszu Polski Ład: Program Inwestycji Stategicznych </t>
  </si>
  <si>
    <t xml:space="preserve"> - wkład własny</t>
  </si>
  <si>
    <t xml:space="preserve">w zajęciach w centrum integracji społecznej </t>
  </si>
  <si>
    <r>
      <t>Pomoc społeczna</t>
    </r>
    <r>
      <rPr>
        <sz val="8"/>
        <rFont val="Arial CE"/>
        <charset val="238"/>
      </rPr>
      <t xml:space="preserve"> </t>
    </r>
  </si>
  <si>
    <t>Przebudowa mostu nad rzeką Zgłowiączką w ciągu ul. Wysokiej wraz z poszerzeniem i wzmocnieniem nasypów korony drogi oraz zmianą geometrii ulicy i przebudową skrzyżowania z ul. Kapitulną (Budowa ronda Wysoka - Kapitulna - Długa)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</si>
</sst>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0_ ;\-#,##0.00\ "/>
    <numFmt numFmtId="165" formatCode="_-* #,##0.00\ _z_ł_-;\-* #,##0.00\ _z_ł_-;_-* &quot;-&quot;??\ _z_ł_-;_-@_-"/>
  </numFmts>
  <fonts count="9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9"/>
      <name val="Arial CE"/>
      <charset val="238"/>
    </font>
    <font>
      <b/>
      <sz val="9"/>
      <name val="Arial CE"/>
      <family val="2"/>
      <charset val="238"/>
    </font>
    <font>
      <sz val="9"/>
      <name val="Arial CE"/>
      <family val="2"/>
      <charset val="238"/>
    </font>
    <font>
      <sz val="8"/>
      <name val="Arial CE"/>
      <family val="2"/>
      <charset val="238"/>
    </font>
    <font>
      <sz val="7"/>
      <name val="Arial CE"/>
      <family val="2"/>
      <charset val="238"/>
    </font>
    <font>
      <b/>
      <sz val="7"/>
      <name val="Arial CE"/>
      <family val="2"/>
      <charset val="238"/>
    </font>
    <font>
      <b/>
      <u/>
      <sz val="9"/>
      <name val="Arial CE"/>
      <family val="2"/>
      <charset val="238"/>
    </font>
    <font>
      <sz val="10"/>
      <name val="Arial CE"/>
      <family val="2"/>
      <charset val="238"/>
    </font>
    <font>
      <sz val="11"/>
      <color theme="1"/>
      <name val="Calibri"/>
      <family val="2"/>
      <scheme val="minor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sz val="8"/>
      <name val="Arial CE"/>
      <family val="2"/>
      <charset val="238"/>
    </font>
    <font>
      <sz val="8"/>
      <name val="Arial CE"/>
      <charset val="238"/>
    </font>
    <font>
      <b/>
      <sz val="8"/>
      <name val="Arial CE"/>
      <charset val="238"/>
    </font>
    <font>
      <i/>
      <sz val="8"/>
      <name val="Arial CE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b/>
      <sz val="10"/>
      <name val="Arial CE"/>
      <family val="2"/>
      <charset val="238"/>
    </font>
    <font>
      <b/>
      <sz val="9"/>
      <name val="Arial CE"/>
      <charset val="238"/>
    </font>
    <font>
      <sz val="7"/>
      <name val="Arial CE"/>
      <charset val="238"/>
    </font>
    <font>
      <sz val="8"/>
      <color rgb="FFFF0000"/>
      <name val="Arial CE"/>
      <charset val="238"/>
    </font>
    <font>
      <b/>
      <sz val="8"/>
      <color rgb="FFFF0000"/>
      <name val="Arial CE"/>
      <charset val="238"/>
    </font>
    <font>
      <sz val="8"/>
      <color theme="1"/>
      <name val="Arial CE"/>
      <charset val="238"/>
    </font>
    <font>
      <u/>
      <sz val="9"/>
      <name val="Arial CE"/>
      <family val="2"/>
      <charset val="238"/>
    </font>
    <font>
      <sz val="8"/>
      <name val="Arial Narrow"/>
      <family val="2"/>
      <charset val="238"/>
    </font>
    <font>
      <sz val="7"/>
      <name val="Arial Narrow"/>
      <family val="2"/>
      <charset val="238"/>
    </font>
    <font>
      <b/>
      <sz val="8"/>
      <name val="Arial Narrow"/>
      <family val="2"/>
      <charset val="238"/>
    </font>
    <font>
      <b/>
      <sz val="7"/>
      <name val="Arial Narrow"/>
      <family val="2"/>
      <charset val="238"/>
    </font>
    <font>
      <b/>
      <i/>
      <sz val="7"/>
      <name val="Arial CE"/>
      <charset val="238"/>
    </font>
    <font>
      <b/>
      <i/>
      <sz val="8"/>
      <name val="Arial Narrow"/>
      <family val="2"/>
      <charset val="238"/>
    </font>
    <font>
      <b/>
      <sz val="7"/>
      <name val="Arial CE"/>
      <charset val="238"/>
    </font>
    <font>
      <i/>
      <sz val="8"/>
      <name val="Arial Narrow"/>
      <family val="2"/>
      <charset val="238"/>
    </font>
    <font>
      <sz val="11"/>
      <color indexed="8"/>
      <name val="Calibri"/>
      <family val="2"/>
      <charset val="1"/>
    </font>
    <font>
      <i/>
      <sz val="7"/>
      <name val="Arial Narrow"/>
      <family val="2"/>
      <charset val="238"/>
    </font>
    <font>
      <sz val="11"/>
      <color theme="1"/>
      <name val="Arial Narrow"/>
      <family val="2"/>
      <charset val="238"/>
    </font>
    <font>
      <sz val="7"/>
      <color theme="1"/>
      <name val="Arial Narrow"/>
      <family val="2"/>
      <charset val="238"/>
    </font>
    <font>
      <b/>
      <sz val="8"/>
      <color theme="1"/>
      <name val="Arial CE"/>
      <charset val="238"/>
    </font>
    <font>
      <b/>
      <u/>
      <sz val="8"/>
      <name val="Arial CE"/>
      <charset val="238"/>
    </font>
    <font>
      <b/>
      <i/>
      <sz val="7"/>
      <name val="Arial Narrow"/>
      <family val="2"/>
      <charset val="238"/>
    </font>
    <font>
      <sz val="11"/>
      <color rgb="FF9C0006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Arial"/>
      <family val="2"/>
      <charset val="238"/>
    </font>
    <font>
      <b/>
      <sz val="10"/>
      <name val="Arial"/>
      <family val="2"/>
      <charset val="238"/>
    </font>
    <font>
      <b/>
      <sz val="7.5"/>
      <name val="Arial"/>
      <family val="2"/>
      <charset val="238"/>
    </font>
    <font>
      <sz val="6"/>
      <name val="Arial"/>
      <family val="2"/>
      <charset val="238"/>
    </font>
    <font>
      <i/>
      <sz val="8"/>
      <name val="Arial"/>
      <family val="2"/>
      <charset val="238"/>
    </font>
    <font>
      <b/>
      <sz val="8"/>
      <color theme="1"/>
      <name val="Arial"/>
      <family val="2"/>
      <charset val="238"/>
    </font>
    <font>
      <i/>
      <sz val="7"/>
      <name val="Arial"/>
      <family val="2"/>
      <charset val="238"/>
    </font>
    <font>
      <b/>
      <sz val="10"/>
      <name val="Arial CE"/>
      <charset val="238"/>
    </font>
    <font>
      <b/>
      <sz val="9"/>
      <name val="Arial Narrow"/>
      <family val="2"/>
      <charset val="238"/>
    </font>
    <font>
      <sz val="6"/>
      <name val="Arial CE"/>
      <charset val="238"/>
    </font>
    <font>
      <sz val="6"/>
      <name val="Arial Narrow"/>
      <family val="2"/>
      <charset val="238"/>
    </font>
    <font>
      <sz val="9"/>
      <name val="Arial Narrow"/>
      <family val="2"/>
      <charset val="238"/>
    </font>
    <font>
      <u/>
      <sz val="7"/>
      <name val="Arial CE"/>
      <charset val="238"/>
    </font>
    <font>
      <i/>
      <sz val="9"/>
      <name val="Arial Narrow"/>
      <family val="2"/>
      <charset val="238"/>
    </font>
    <font>
      <sz val="10"/>
      <name val="Arial"/>
      <charset val="238"/>
    </font>
    <font>
      <sz val="9"/>
      <name val="Arial"/>
      <family val="2"/>
      <charset val="238"/>
    </font>
    <font>
      <sz val="7"/>
      <name val="Arial"/>
      <family val="2"/>
      <charset val="238"/>
    </font>
    <font>
      <sz val="10"/>
      <name val="Arial"/>
      <family val="2"/>
      <charset val="238"/>
    </font>
    <font>
      <b/>
      <sz val="12"/>
      <name val="Arial CE"/>
      <family val="2"/>
      <charset val="238"/>
    </font>
    <font>
      <i/>
      <sz val="10"/>
      <name val="Arial CE"/>
      <charset val="238"/>
    </font>
    <font>
      <b/>
      <sz val="11"/>
      <name val="Arial CE"/>
      <family val="2"/>
      <charset val="238"/>
    </font>
    <font>
      <b/>
      <sz val="9"/>
      <color rgb="FFFF0000"/>
      <name val="Arial"/>
      <family val="2"/>
      <charset val="238"/>
    </font>
    <font>
      <i/>
      <sz val="9"/>
      <name val="Arial CE"/>
      <charset val="238"/>
    </font>
    <font>
      <i/>
      <sz val="9"/>
      <name val="Arial"/>
      <family val="2"/>
      <charset val="238"/>
    </font>
    <font>
      <b/>
      <i/>
      <sz val="9"/>
      <name val="Arial CE"/>
      <charset val="238"/>
    </font>
    <font>
      <b/>
      <i/>
      <sz val="9"/>
      <name val="Arial CE"/>
      <family val="2"/>
      <charset val="238"/>
    </font>
    <font>
      <b/>
      <sz val="9"/>
      <name val="Arial"/>
      <family val="2"/>
      <charset val="238"/>
    </font>
    <font>
      <sz val="6"/>
      <name val="Arial CE"/>
      <family val="2"/>
      <charset val="238"/>
    </font>
    <font>
      <sz val="8"/>
      <color rgb="FFFF0000"/>
      <name val="Arial"/>
      <family val="2"/>
      <charset val="238"/>
    </font>
    <font>
      <b/>
      <i/>
      <sz val="10"/>
      <color theme="1"/>
      <name val="Arial"/>
      <family val="2"/>
      <charset val="238"/>
    </font>
    <font>
      <b/>
      <i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sz val="10"/>
      <color theme="1"/>
      <name val="Arial Narrow"/>
      <family val="2"/>
      <charset val="238"/>
    </font>
    <font>
      <sz val="9"/>
      <color rgb="FFFF0000"/>
      <name val="Arial"/>
      <family val="2"/>
      <charset val="238"/>
    </font>
    <font>
      <b/>
      <sz val="8"/>
      <color rgb="FFFF0000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u/>
      <sz val="8"/>
      <name val="Arial CE"/>
      <charset val="238"/>
    </font>
    <font>
      <b/>
      <u/>
      <sz val="8"/>
      <name val="Arial CE"/>
      <family val="2"/>
      <charset val="238"/>
    </font>
    <font>
      <b/>
      <sz val="6"/>
      <name val="Arial CE"/>
      <charset val="238"/>
    </font>
    <font>
      <b/>
      <sz val="10"/>
      <color theme="1"/>
      <name val="Arial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7CE"/>
      </patternFill>
    </fill>
    <fill>
      <patternFill patternType="solid">
        <fgColor rgb="FFFFCC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CFF"/>
        <bgColor indexed="64"/>
      </patternFill>
    </fill>
  </fills>
  <borders count="7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/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DashDotDot">
        <color indexed="64"/>
      </bottom>
      <diagonal/>
    </border>
    <border>
      <left style="thin">
        <color indexed="64"/>
      </left>
      <right style="thin">
        <color indexed="64"/>
      </right>
      <top/>
      <bottom style="mediumDashDot">
        <color indexed="64"/>
      </bottom>
      <diagonal/>
    </border>
    <border>
      <left/>
      <right/>
      <top/>
      <bottom style="mediumDashDot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DashDot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DashDot">
        <color indexed="64"/>
      </bottom>
      <diagonal/>
    </border>
    <border>
      <left/>
      <right/>
      <top style="thin">
        <color indexed="64"/>
      </top>
      <bottom style="mediumDashDot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DashDot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mediumDashDotDot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</borders>
  <cellStyleXfs count="14">
    <xf numFmtId="0" fontId="0" fillId="0" borderId="0"/>
    <xf numFmtId="0" fontId="4" fillId="0" borderId="0"/>
    <xf numFmtId="165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7" fillId="0" borderId="0"/>
    <xf numFmtId="0" fontId="13" fillId="0" borderId="0"/>
    <xf numFmtId="43" fontId="13" fillId="0" borderId="0" applyFont="0" applyFill="0" applyBorder="0" applyAlignment="0" applyProtection="0"/>
    <xf numFmtId="0" fontId="44" fillId="6" borderId="0" applyNumberFormat="0" applyBorder="0" applyAlignment="0" applyProtection="0"/>
    <xf numFmtId="0" fontId="46" fillId="0" borderId="0"/>
    <xf numFmtId="0" fontId="13" fillId="0" borderId="0"/>
    <xf numFmtId="0" fontId="60" fillId="0" borderId="0"/>
    <xf numFmtId="0" fontId="63" fillId="0" borderId="0"/>
    <xf numFmtId="0" fontId="2" fillId="0" borderId="0"/>
  </cellStyleXfs>
  <cellXfs count="1373">
    <xf numFmtId="0" fontId="0" fillId="0" borderId="0" xfId="0"/>
    <xf numFmtId="0" fontId="4" fillId="0" borderId="0" xfId="1"/>
    <xf numFmtId="0" fontId="5" fillId="0" borderId="0" xfId="1" applyFont="1"/>
    <xf numFmtId="0" fontId="6" fillId="0" borderId="0" xfId="1" applyFont="1" applyAlignment="1">
      <alignment horizontal="centerContinuous"/>
    </xf>
    <xf numFmtId="0" fontId="7" fillId="0" borderId="0" xfId="1" applyFont="1" applyAlignment="1">
      <alignment horizontal="centerContinuous"/>
    </xf>
    <xf numFmtId="0" fontId="7" fillId="0" borderId="0" xfId="1" applyFont="1"/>
    <xf numFmtId="0" fontId="7" fillId="0" borderId="0" xfId="1" applyFont="1" applyAlignment="1">
      <alignment horizontal="right"/>
    </xf>
    <xf numFmtId="0" fontId="8" fillId="0" borderId="1" xfId="1" applyFont="1" applyBorder="1" applyAlignment="1">
      <alignment horizontal="center"/>
    </xf>
    <xf numFmtId="0" fontId="7" fillId="0" borderId="2" xfId="1" applyFont="1" applyBorder="1"/>
    <xf numFmtId="0" fontId="7" fillId="0" borderId="6" xfId="1" applyFont="1" applyBorder="1"/>
    <xf numFmtId="0" fontId="8" fillId="0" borderId="6" xfId="1" applyFont="1" applyBorder="1" applyAlignment="1">
      <alignment horizontal="center"/>
    </xf>
    <xf numFmtId="0" fontId="9" fillId="0" borderId="6" xfId="1" applyFont="1" applyBorder="1" applyAlignment="1">
      <alignment horizontal="center"/>
    </xf>
    <xf numFmtId="0" fontId="7" fillId="0" borderId="6" xfId="1" applyFont="1" applyBorder="1" applyAlignment="1">
      <alignment horizontal="center"/>
    </xf>
    <xf numFmtId="0" fontId="8" fillId="0" borderId="7" xfId="1" applyFont="1" applyBorder="1" applyAlignment="1">
      <alignment horizontal="center"/>
    </xf>
    <xf numFmtId="0" fontId="9" fillId="0" borderId="7" xfId="1" applyFont="1" applyBorder="1" applyAlignment="1">
      <alignment horizontal="center"/>
    </xf>
    <xf numFmtId="49" fontId="7" fillId="0" borderId="6" xfId="1" applyNumberFormat="1" applyFont="1" applyBorder="1" applyAlignment="1">
      <alignment horizontal="center"/>
    </xf>
    <xf numFmtId="4" fontId="7" fillId="0" borderId="6" xfId="1" applyNumberFormat="1" applyFont="1" applyBorder="1" applyAlignment="1">
      <alignment horizontal="right"/>
    </xf>
    <xf numFmtId="10" fontId="9" fillId="0" borderId="6" xfId="1" applyNumberFormat="1" applyFont="1" applyBorder="1"/>
    <xf numFmtId="4" fontId="7" fillId="0" borderId="6" xfId="1" applyNumberFormat="1" applyFont="1" applyBorder="1"/>
    <xf numFmtId="0" fontId="7" fillId="0" borderId="8" xfId="1" applyFont="1" applyBorder="1"/>
    <xf numFmtId="49" fontId="7" fillId="0" borderId="7" xfId="1" applyNumberFormat="1" applyFont="1" applyBorder="1" applyAlignment="1">
      <alignment horizontal="center"/>
    </xf>
    <xf numFmtId="0" fontId="7" fillId="0" borderId="7" xfId="1" applyFont="1" applyBorder="1"/>
    <xf numFmtId="4" fontId="7" fillId="0" borderId="7" xfId="1" applyNumberFormat="1" applyFont="1" applyBorder="1"/>
    <xf numFmtId="10" fontId="9" fillId="0" borderId="7" xfId="1" applyNumberFormat="1" applyFont="1" applyBorder="1"/>
    <xf numFmtId="3" fontId="9" fillId="0" borderId="6" xfId="1" applyNumberFormat="1" applyFont="1" applyBorder="1"/>
    <xf numFmtId="3" fontId="7" fillId="0" borderId="6" xfId="1" applyNumberFormat="1" applyFont="1" applyBorder="1"/>
    <xf numFmtId="4" fontId="7" fillId="0" borderId="9" xfId="1" applyNumberFormat="1" applyFont="1" applyBorder="1"/>
    <xf numFmtId="10" fontId="7" fillId="0" borderId="6" xfId="1" applyNumberFormat="1" applyFont="1" applyBorder="1"/>
    <xf numFmtId="0" fontId="7" fillId="0" borderId="9" xfId="1" applyFont="1" applyBorder="1"/>
    <xf numFmtId="4" fontId="6" fillId="0" borderId="6" xfId="1" applyNumberFormat="1" applyFont="1" applyBorder="1"/>
    <xf numFmtId="0" fontId="9" fillId="0" borderId="0" xfId="1" applyFont="1"/>
    <xf numFmtId="0" fontId="7" fillId="0" borderId="0" xfId="1" applyFont="1" applyAlignment="1">
      <alignment horizontal="left"/>
    </xf>
    <xf numFmtId="0" fontId="10" fillId="0" borderId="0" xfId="1" applyFont="1" applyAlignment="1">
      <alignment horizontal="centerContinuous"/>
    </xf>
    <xf numFmtId="0" fontId="8" fillId="0" borderId="0" xfId="1" applyFont="1"/>
    <xf numFmtId="0" fontId="8" fillId="0" borderId="0" xfId="1" applyFont="1" applyAlignment="1">
      <alignment horizontal="right"/>
    </xf>
    <xf numFmtId="0" fontId="8" fillId="0" borderId="0" xfId="1" applyFont="1" applyAlignment="1">
      <alignment horizontal="center"/>
    </xf>
    <xf numFmtId="0" fontId="6" fillId="0" borderId="3" xfId="1" applyFont="1" applyBorder="1" applyAlignment="1">
      <alignment horizontal="centerContinuous"/>
    </xf>
    <xf numFmtId="0" fontId="10" fillId="0" borderId="4" xfId="1" applyFont="1" applyBorder="1" applyAlignment="1">
      <alignment horizontal="centerContinuous"/>
    </xf>
    <xf numFmtId="0" fontId="7" fillId="0" borderId="4" xfId="1" applyFont="1" applyBorder="1" applyAlignment="1">
      <alignment horizontal="centerContinuous"/>
    </xf>
    <xf numFmtId="0" fontId="9" fillId="0" borderId="4" xfId="1" applyFont="1" applyBorder="1" applyAlignment="1">
      <alignment horizontal="centerContinuous"/>
    </xf>
    <xf numFmtId="0" fontId="9" fillId="0" borderId="5" xfId="1" applyFont="1" applyBorder="1" applyAlignment="1">
      <alignment horizontal="centerContinuous"/>
    </xf>
    <xf numFmtId="0" fontId="6" fillId="0" borderId="4" xfId="1" applyFont="1" applyBorder="1" applyAlignment="1">
      <alignment horizontal="centerContinuous"/>
    </xf>
    <xf numFmtId="0" fontId="7" fillId="0" borderId="5" xfId="1" applyFont="1" applyBorder="1" applyAlignment="1">
      <alignment horizontal="centerContinuous"/>
    </xf>
    <xf numFmtId="0" fontId="9" fillId="0" borderId="0" xfId="1" applyFont="1" applyAlignment="1">
      <alignment horizontal="center"/>
    </xf>
    <xf numFmtId="0" fontId="9" fillId="0" borderId="12" xfId="1" applyFont="1" applyBorder="1" applyAlignment="1">
      <alignment horizontal="center"/>
    </xf>
    <xf numFmtId="0" fontId="9" fillId="0" borderId="3" xfId="1" applyFont="1" applyBorder="1" applyAlignment="1">
      <alignment horizontal="center"/>
    </xf>
    <xf numFmtId="0" fontId="11" fillId="0" borderId="6" xfId="1" applyFont="1" applyBorder="1"/>
    <xf numFmtId="0" fontId="7" fillId="0" borderId="9" xfId="1" applyFont="1" applyBorder="1" applyAlignment="1">
      <alignment horizontal="center"/>
    </xf>
    <xf numFmtId="4" fontId="7" fillId="0" borderId="9" xfId="1" applyNumberFormat="1" applyFont="1" applyBorder="1" applyAlignment="1">
      <alignment horizontal="center"/>
    </xf>
    <xf numFmtId="3" fontId="9" fillId="0" borderId="6" xfId="1" applyNumberFormat="1" applyFont="1" applyBorder="1" applyAlignment="1">
      <alignment horizontal="right"/>
    </xf>
    <xf numFmtId="3" fontId="7" fillId="0" borderId="6" xfId="1" applyNumberFormat="1" applyFont="1" applyBorder="1" applyAlignment="1">
      <alignment horizontal="right"/>
    </xf>
    <xf numFmtId="4" fontId="7" fillId="0" borderId="9" xfId="1" applyNumberFormat="1" applyFont="1" applyBorder="1" applyAlignment="1">
      <alignment horizontal="right"/>
    </xf>
    <xf numFmtId="3" fontId="9" fillId="0" borderId="6" xfId="1" applyNumberFormat="1" applyFont="1" applyBorder="1" applyAlignment="1">
      <alignment horizontal="center"/>
    </xf>
    <xf numFmtId="10" fontId="9" fillId="0" borderId="6" xfId="1" applyNumberFormat="1" applyFont="1" applyBorder="1" applyAlignment="1">
      <alignment horizontal="center"/>
    </xf>
    <xf numFmtId="3" fontId="7" fillId="0" borderId="6" xfId="1" applyNumberFormat="1" applyFont="1" applyBorder="1" applyAlignment="1">
      <alignment horizontal="center"/>
    </xf>
    <xf numFmtId="4" fontId="7" fillId="0" borderId="6" xfId="1" applyNumberFormat="1" applyFont="1" applyBorder="1" applyAlignment="1">
      <alignment horizontal="center"/>
    </xf>
    <xf numFmtId="10" fontId="7" fillId="0" borderId="6" xfId="1" applyNumberFormat="1" applyFont="1" applyBorder="1" applyAlignment="1">
      <alignment horizontal="center"/>
    </xf>
    <xf numFmtId="3" fontId="7" fillId="0" borderId="8" xfId="1" applyNumberFormat="1" applyFont="1" applyBorder="1"/>
    <xf numFmtId="0" fontId="9" fillId="0" borderId="6" xfId="1" applyFont="1" applyBorder="1"/>
    <xf numFmtId="3" fontId="9" fillId="0" borderId="7" xfId="1" applyNumberFormat="1" applyFont="1" applyBorder="1"/>
    <xf numFmtId="3" fontId="7" fillId="0" borderId="7" xfId="1" applyNumberFormat="1" applyFont="1" applyBorder="1"/>
    <xf numFmtId="0" fontId="7" fillId="0" borderId="10" xfId="1" applyFont="1" applyBorder="1"/>
    <xf numFmtId="0" fontId="6" fillId="0" borderId="11" xfId="1" applyFont="1" applyBorder="1" applyAlignment="1">
      <alignment horizontal="center"/>
    </xf>
    <xf numFmtId="4" fontId="6" fillId="0" borderId="7" xfId="1" applyNumberFormat="1" applyFont="1" applyBorder="1"/>
    <xf numFmtId="10" fontId="10" fillId="0" borderId="12" xfId="1" applyNumberFormat="1" applyFont="1" applyBorder="1"/>
    <xf numFmtId="3" fontId="6" fillId="0" borderId="7" xfId="1" applyNumberFormat="1" applyFont="1" applyBorder="1"/>
    <xf numFmtId="10" fontId="6" fillId="0" borderId="12" xfId="1" applyNumberFormat="1" applyFont="1" applyBorder="1"/>
    <xf numFmtId="0" fontId="6" fillId="0" borderId="6" xfId="1" applyFont="1" applyBorder="1"/>
    <xf numFmtId="0" fontId="11" fillId="0" borderId="8" xfId="1" applyFont="1" applyBorder="1"/>
    <xf numFmtId="0" fontId="10" fillId="0" borderId="6" xfId="1" applyFont="1" applyBorder="1"/>
    <xf numFmtId="0" fontId="6" fillId="0" borderId="9" xfId="1" applyFont="1" applyBorder="1"/>
    <xf numFmtId="0" fontId="6" fillId="0" borderId="0" xfId="1" applyFont="1"/>
    <xf numFmtId="3" fontId="7" fillId="0" borderId="11" xfId="1" applyNumberFormat="1" applyFont="1" applyBorder="1"/>
    <xf numFmtId="3" fontId="10" fillId="0" borderId="7" xfId="1" applyNumberFormat="1" applyFont="1" applyBorder="1"/>
    <xf numFmtId="10" fontId="10" fillId="0" borderId="7" xfId="1" applyNumberFormat="1" applyFont="1" applyBorder="1"/>
    <xf numFmtId="3" fontId="6" fillId="0" borderId="10" xfId="1" applyNumberFormat="1" applyFont="1" applyBorder="1"/>
    <xf numFmtId="0" fontId="6" fillId="0" borderId="7" xfId="1" applyFont="1" applyBorder="1"/>
    <xf numFmtId="3" fontId="6" fillId="0" borderId="11" xfId="1" applyNumberFormat="1" applyFont="1" applyBorder="1" applyAlignment="1">
      <alignment horizontal="center"/>
    </xf>
    <xf numFmtId="4" fontId="5" fillId="0" borderId="6" xfId="1" applyNumberFormat="1" applyFont="1" applyBorder="1"/>
    <xf numFmtId="3" fontId="5" fillId="0" borderId="6" xfId="1" applyNumberFormat="1" applyFont="1" applyBorder="1"/>
    <xf numFmtId="49" fontId="7" fillId="0" borderId="6" xfId="1" applyNumberFormat="1" applyFont="1" applyBorder="1"/>
    <xf numFmtId="49" fontId="7" fillId="0" borderId="7" xfId="1" applyNumberFormat="1" applyFont="1" applyBorder="1"/>
    <xf numFmtId="10" fontId="7" fillId="0" borderId="7" xfId="1" applyNumberFormat="1" applyFont="1" applyBorder="1"/>
    <xf numFmtId="49" fontId="6" fillId="0" borderId="3" xfId="1" applyNumberFormat="1" applyFont="1" applyBorder="1"/>
    <xf numFmtId="10" fontId="6" fillId="0" borderId="7" xfId="1" applyNumberFormat="1" applyFont="1" applyBorder="1"/>
    <xf numFmtId="0" fontId="6" fillId="0" borderId="0" xfId="1" applyFont="1" applyAlignment="1">
      <alignment horizontal="center"/>
    </xf>
    <xf numFmtId="3" fontId="6" fillId="0" borderId="0" xfId="1" applyNumberFormat="1" applyFont="1"/>
    <xf numFmtId="0" fontId="12" fillId="0" borderId="0" xfId="1" applyFont="1"/>
    <xf numFmtId="0" fontId="12" fillId="0" borderId="0" xfId="1" applyFont="1" applyAlignment="1">
      <alignment horizontal="left"/>
    </xf>
    <xf numFmtId="3" fontId="12" fillId="0" borderId="0" xfId="1" applyNumberFormat="1" applyFont="1"/>
    <xf numFmtId="4" fontId="8" fillId="0" borderId="0" xfId="1" applyNumberFormat="1" applyFont="1"/>
    <xf numFmtId="0" fontId="8" fillId="0" borderId="0" xfId="1" applyFont="1" applyAlignment="1">
      <alignment horizontal="left"/>
    </xf>
    <xf numFmtId="0" fontId="14" fillId="0" borderId="0" xfId="1" applyFont="1" applyAlignment="1">
      <alignment horizontal="centerContinuous"/>
    </xf>
    <xf numFmtId="0" fontId="15" fillId="0" borderId="0" xfId="1" applyFont="1" applyAlignment="1">
      <alignment horizontal="centerContinuous"/>
    </xf>
    <xf numFmtId="0" fontId="15" fillId="0" borderId="0" xfId="1" applyFont="1"/>
    <xf numFmtId="0" fontId="15" fillId="0" borderId="0" xfId="1" applyFont="1" applyAlignment="1">
      <alignment horizontal="center"/>
    </xf>
    <xf numFmtId="0" fontId="15" fillId="0" borderId="2" xfId="1" applyFont="1" applyBorder="1" applyAlignment="1">
      <alignment horizontal="center"/>
    </xf>
    <xf numFmtId="0" fontId="15" fillId="0" borderId="2" xfId="1" applyFont="1" applyBorder="1"/>
    <xf numFmtId="0" fontId="15" fillId="0" borderId="5" xfId="1" applyFont="1" applyBorder="1" applyAlignment="1">
      <alignment vertical="center"/>
    </xf>
    <xf numFmtId="0" fontId="15" fillId="0" borderId="4" xfId="1" applyFont="1" applyBorder="1" applyAlignment="1">
      <alignment horizontal="center" vertical="center" wrapText="1"/>
    </xf>
    <xf numFmtId="0" fontId="15" fillId="0" borderId="14" xfId="1" applyFont="1" applyBorder="1" applyAlignment="1">
      <alignment horizontal="center" vertical="center" wrapText="1"/>
    </xf>
    <xf numFmtId="0" fontId="15" fillId="0" borderId="6" xfId="1" applyFont="1" applyBorder="1" applyAlignment="1">
      <alignment horizontal="center"/>
    </xf>
    <xf numFmtId="0" fontId="15" fillId="0" borderId="6" xfId="1" applyFont="1" applyBorder="1" applyAlignment="1">
      <alignment horizontal="center" vertical="top"/>
    </xf>
    <xf numFmtId="0" fontId="15" fillId="0" borderId="6" xfId="1" applyFont="1" applyBorder="1" applyAlignment="1">
      <alignment horizontal="center" vertical="center"/>
    </xf>
    <xf numFmtId="0" fontId="15" fillId="0" borderId="6" xfId="1" applyFont="1" applyBorder="1" applyAlignment="1">
      <alignment horizontal="center" vertical="top" wrapText="1"/>
    </xf>
    <xf numFmtId="0" fontId="15" fillId="0" borderId="7" xfId="1" applyFont="1" applyBorder="1"/>
    <xf numFmtId="0" fontId="15" fillId="0" borderId="7" xfId="1" applyFont="1" applyBorder="1" applyAlignment="1">
      <alignment horizontal="center"/>
    </xf>
    <xf numFmtId="0" fontId="15" fillId="0" borderId="12" xfId="1" applyFont="1" applyBorder="1" applyAlignment="1">
      <alignment horizontal="center"/>
    </xf>
    <xf numFmtId="0" fontId="15" fillId="0" borderId="3" xfId="1" applyFont="1" applyBorder="1" applyAlignment="1">
      <alignment horizontal="center" vertical="center"/>
    </xf>
    <xf numFmtId="0" fontId="15" fillId="0" borderId="4" xfId="1" applyFont="1" applyBorder="1"/>
    <xf numFmtId="49" fontId="14" fillId="0" borderId="15" xfId="1" applyNumberFormat="1" applyFont="1" applyBorder="1" applyAlignment="1">
      <alignment horizontal="center"/>
    </xf>
    <xf numFmtId="0" fontId="14" fillId="0" borderId="16" xfId="1" applyFont="1" applyBorder="1"/>
    <xf numFmtId="4" fontId="14" fillId="0" borderId="16" xfId="1" applyNumberFormat="1" applyFont="1" applyBorder="1" applyAlignment="1">
      <alignment horizontal="right"/>
    </xf>
    <xf numFmtId="49" fontId="15" fillId="0" borderId="17" xfId="1" applyNumberFormat="1" applyFont="1" applyBorder="1" applyAlignment="1">
      <alignment horizontal="center"/>
    </xf>
    <xf numFmtId="0" fontId="15" fillId="0" borderId="17" xfId="1" applyFont="1" applyBorder="1"/>
    <xf numFmtId="4" fontId="15" fillId="0" borderId="17" xfId="1" applyNumberFormat="1" applyFont="1" applyBorder="1" applyAlignment="1">
      <alignment horizontal="right"/>
    </xf>
    <xf numFmtId="49" fontId="15" fillId="0" borderId="6" xfId="1" applyNumberFormat="1" applyFont="1" applyBorder="1" applyAlignment="1">
      <alignment horizontal="right"/>
    </xf>
    <xf numFmtId="4" fontId="15" fillId="0" borderId="6" xfId="1" applyNumberFormat="1" applyFont="1" applyBorder="1"/>
    <xf numFmtId="4" fontId="15" fillId="0" borderId="2" xfId="1" applyNumberFormat="1" applyFont="1" applyBorder="1" applyAlignment="1">
      <alignment horizontal="right"/>
    </xf>
    <xf numFmtId="4" fontId="15" fillId="0" borderId="2" xfId="1" applyNumberFormat="1" applyFont="1" applyBorder="1"/>
    <xf numFmtId="4" fontId="15" fillId="0" borderId="6" xfId="1" applyNumberFormat="1" applyFont="1" applyBorder="1" applyAlignment="1">
      <alignment horizontal="right"/>
    </xf>
    <xf numFmtId="0" fontId="15" fillId="0" borderId="6" xfId="1" applyFont="1" applyBorder="1"/>
    <xf numFmtId="49" fontId="14" fillId="0" borderId="16" xfId="1" applyNumberFormat="1" applyFont="1" applyBorder="1" applyAlignment="1">
      <alignment horizontal="center"/>
    </xf>
    <xf numFmtId="4" fontId="14" fillId="0" borderId="16" xfId="1" applyNumberFormat="1" applyFont="1" applyBorder="1"/>
    <xf numFmtId="0" fontId="14" fillId="0" borderId="16" xfId="1" applyFont="1" applyBorder="1" applyAlignment="1">
      <alignment horizontal="left"/>
    </xf>
    <xf numFmtId="49" fontId="15" fillId="0" borderId="7" xfId="1" applyNumberFormat="1" applyFont="1" applyBorder="1" applyAlignment="1">
      <alignment horizontal="center"/>
    </xf>
    <xf numFmtId="0" fontId="15" fillId="0" borderId="7" xfId="1" applyFont="1" applyBorder="1" applyAlignment="1">
      <alignment horizontal="left"/>
    </xf>
    <xf numFmtId="4" fontId="15" fillId="0" borderId="7" xfId="1" applyNumberFormat="1" applyFont="1" applyBorder="1" applyAlignment="1">
      <alignment horizontal="right"/>
    </xf>
    <xf numFmtId="0" fontId="15" fillId="0" borderId="6" xfId="1" applyFont="1" applyBorder="1" applyAlignment="1">
      <alignment horizontal="left"/>
    </xf>
    <xf numFmtId="3" fontId="15" fillId="0" borderId="6" xfId="1" applyNumberFormat="1" applyFont="1" applyBorder="1" applyAlignment="1">
      <alignment horizontal="right"/>
    </xf>
    <xf numFmtId="49" fontId="15" fillId="0" borderId="6" xfId="1" applyNumberFormat="1" applyFont="1" applyBorder="1" applyAlignment="1">
      <alignment horizontal="right" vertical="top"/>
    </xf>
    <xf numFmtId="0" fontId="15" fillId="0" borderId="6" xfId="1" applyFont="1" applyBorder="1" applyAlignment="1">
      <alignment vertical="top" wrapText="1"/>
    </xf>
    <xf numFmtId="3" fontId="15" fillId="0" borderId="9" xfId="1" applyNumberFormat="1" applyFont="1" applyBorder="1"/>
    <xf numFmtId="49" fontId="15" fillId="0" borderId="6" xfId="1" applyNumberFormat="1" applyFont="1" applyBorder="1" applyAlignment="1">
      <alignment horizontal="center"/>
    </xf>
    <xf numFmtId="3" fontId="15" fillId="0" borderId="10" xfId="1" applyNumberFormat="1" applyFont="1" applyBorder="1"/>
    <xf numFmtId="3" fontId="15" fillId="0" borderId="6" xfId="1" applyNumberFormat="1" applyFont="1" applyBorder="1"/>
    <xf numFmtId="49" fontId="15" fillId="0" borderId="6" xfId="1" applyNumberFormat="1" applyFont="1" applyBorder="1" applyAlignment="1">
      <alignment horizontal="right" wrapText="1"/>
    </xf>
    <xf numFmtId="0" fontId="15" fillId="0" borderId="6" xfId="1" applyFont="1" applyBorder="1" applyAlignment="1">
      <alignment wrapText="1"/>
    </xf>
    <xf numFmtId="0" fontId="15" fillId="0" borderId="9" xfId="1" applyFont="1" applyBorder="1"/>
    <xf numFmtId="0" fontId="15" fillId="0" borderId="6" xfId="1" applyFont="1" applyBorder="1" applyAlignment="1">
      <alignment horizontal="left" vertical="top" wrapText="1"/>
    </xf>
    <xf numFmtId="164" fontId="15" fillId="0" borderId="6" xfId="1" applyNumberFormat="1" applyFont="1" applyBorder="1" applyAlignment="1">
      <alignment horizontal="right"/>
    </xf>
    <xf numFmtId="0" fontId="8" fillId="0" borderId="1" xfId="1" applyFont="1" applyBorder="1"/>
    <xf numFmtId="0" fontId="15" fillId="0" borderId="17" xfId="1" applyFont="1" applyBorder="1" applyAlignment="1">
      <alignment horizontal="left"/>
    </xf>
    <xf numFmtId="0" fontId="15" fillId="0" borderId="6" xfId="1" applyFont="1" applyBorder="1" applyAlignment="1">
      <alignment horizontal="right"/>
    </xf>
    <xf numFmtId="0" fontId="14" fillId="0" borderId="16" xfId="1" applyFont="1" applyBorder="1" applyAlignment="1">
      <alignment horizontal="center"/>
    </xf>
    <xf numFmtId="0" fontId="15" fillId="0" borderId="17" xfId="1" applyFont="1" applyBorder="1" applyAlignment="1">
      <alignment horizontal="center"/>
    </xf>
    <xf numFmtId="49" fontId="15" fillId="0" borderId="7" xfId="1" applyNumberFormat="1" applyFont="1" applyBorder="1" applyAlignment="1">
      <alignment horizontal="right"/>
    </xf>
    <xf numFmtId="4" fontId="15" fillId="0" borderId="7" xfId="1" applyNumberFormat="1" applyFont="1" applyBorder="1"/>
    <xf numFmtId="49" fontId="14" fillId="0" borderId="6" xfId="1" applyNumberFormat="1" applyFont="1" applyBorder="1" applyAlignment="1">
      <alignment horizontal="center"/>
    </xf>
    <xf numFmtId="0" fontId="15" fillId="0" borderId="9" xfId="1" applyFont="1" applyBorder="1" applyAlignment="1">
      <alignment vertical="top" wrapText="1"/>
    </xf>
    <xf numFmtId="49" fontId="15" fillId="0" borderId="7" xfId="1" applyNumberFormat="1" applyFont="1" applyBorder="1" applyAlignment="1">
      <alignment horizontal="right" vertical="top"/>
    </xf>
    <xf numFmtId="0" fontId="15" fillId="0" borderId="10" xfId="1" applyFont="1" applyBorder="1" applyAlignment="1">
      <alignment vertical="top" wrapText="1"/>
    </xf>
    <xf numFmtId="0" fontId="15" fillId="0" borderId="7" xfId="1" applyFont="1" applyBorder="1" applyAlignment="1">
      <alignment horizontal="left" vertical="top" wrapText="1"/>
    </xf>
    <xf numFmtId="0" fontId="14" fillId="0" borderId="15" xfId="1" applyFont="1" applyBorder="1" applyAlignment="1">
      <alignment horizontal="left"/>
    </xf>
    <xf numFmtId="4" fontId="14" fillId="0" borderId="15" xfId="1" applyNumberFormat="1" applyFont="1" applyBorder="1" applyAlignment="1">
      <alignment horizontal="right"/>
    </xf>
    <xf numFmtId="4" fontId="15" fillId="0" borderId="9" xfId="1" applyNumberFormat="1" applyFont="1" applyBorder="1"/>
    <xf numFmtId="0" fontId="14" fillId="0" borderId="6" xfId="1" applyFont="1" applyBorder="1"/>
    <xf numFmtId="0" fontId="16" fillId="0" borderId="0" xfId="1" applyFont="1"/>
    <xf numFmtId="0" fontId="15" fillId="0" borderId="16" xfId="1" applyFont="1" applyBorder="1"/>
    <xf numFmtId="49" fontId="15" fillId="0" borderId="2" xfId="1" applyNumberFormat="1" applyFont="1" applyBorder="1" applyAlignment="1">
      <alignment horizontal="right"/>
    </xf>
    <xf numFmtId="0" fontId="15" fillId="0" borderId="2" xfId="1" applyFont="1" applyBorder="1" applyAlignment="1">
      <alignment horizontal="left"/>
    </xf>
    <xf numFmtId="3" fontId="15" fillId="0" borderId="2" xfId="1" applyNumberFormat="1" applyFont="1" applyBorder="1" applyAlignment="1">
      <alignment horizontal="right"/>
    </xf>
    <xf numFmtId="3" fontId="15" fillId="0" borderId="2" xfId="1" applyNumberFormat="1" applyFont="1" applyBorder="1"/>
    <xf numFmtId="0" fontId="14" fillId="0" borderId="6" xfId="1" applyFont="1" applyBorder="1" applyAlignment="1">
      <alignment horizontal="left"/>
    </xf>
    <xf numFmtId="49" fontId="17" fillId="0" borderId="6" xfId="1" applyNumberFormat="1" applyFont="1" applyBorder="1" applyAlignment="1">
      <alignment horizontal="right"/>
    </xf>
    <xf numFmtId="0" fontId="17" fillId="0" borderId="6" xfId="1" applyFont="1" applyBorder="1"/>
    <xf numFmtId="0" fontId="15" fillId="0" borderId="7" xfId="1" applyFont="1" applyBorder="1" applyAlignment="1">
      <alignment vertical="top" wrapText="1"/>
    </xf>
    <xf numFmtId="0" fontId="15" fillId="0" borderId="7" xfId="1" applyFont="1" applyBorder="1" applyAlignment="1">
      <alignment wrapText="1"/>
    </xf>
    <xf numFmtId="3" fontId="15" fillId="0" borderId="7" xfId="1" applyNumberFormat="1" applyFont="1" applyBorder="1"/>
    <xf numFmtId="49" fontId="15" fillId="0" borderId="12" xfId="1" applyNumberFormat="1" applyFont="1" applyBorder="1" applyAlignment="1">
      <alignment horizontal="right"/>
    </xf>
    <xf numFmtId="0" fontId="15" fillId="0" borderId="3" xfId="1" applyFont="1" applyBorder="1"/>
    <xf numFmtId="4" fontId="15" fillId="0" borderId="12" xfId="1" applyNumberFormat="1" applyFont="1" applyBorder="1" applyAlignment="1">
      <alignment horizontal="right"/>
    </xf>
    <xf numFmtId="0" fontId="15" fillId="0" borderId="12" xfId="1" applyFont="1" applyBorder="1"/>
    <xf numFmtId="4" fontId="15" fillId="0" borderId="12" xfId="1" applyNumberFormat="1" applyFont="1" applyBorder="1"/>
    <xf numFmtId="49" fontId="15" fillId="0" borderId="9" xfId="1" applyNumberFormat="1" applyFont="1" applyBorder="1" applyAlignment="1">
      <alignment horizontal="right"/>
    </xf>
    <xf numFmtId="0" fontId="14" fillId="0" borderId="16" xfId="2" applyNumberFormat="1" applyFont="1" applyBorder="1" applyAlignment="1">
      <alignment horizontal="left"/>
    </xf>
    <xf numFmtId="4" fontId="15" fillId="0" borderId="0" xfId="1" applyNumberFormat="1" applyFont="1"/>
    <xf numFmtId="0" fontId="15" fillId="0" borderId="10" xfId="1" applyFont="1" applyBorder="1"/>
    <xf numFmtId="49" fontId="15" fillId="0" borderId="13" xfId="1" applyNumberFormat="1" applyFont="1" applyBorder="1" applyAlignment="1">
      <alignment horizontal="right"/>
    </xf>
    <xf numFmtId="4" fontId="14" fillId="0" borderId="6" xfId="1" applyNumberFormat="1" applyFont="1" applyBorder="1" applyAlignment="1">
      <alignment horizontal="right"/>
    </xf>
    <xf numFmtId="49" fontId="17" fillId="0" borderId="10" xfId="1" applyNumberFormat="1" applyFont="1" applyBorder="1" applyAlignment="1">
      <alignment horizontal="center"/>
    </xf>
    <xf numFmtId="0" fontId="8" fillId="0" borderId="12" xfId="1" applyFont="1" applyBorder="1"/>
    <xf numFmtId="0" fontId="8" fillId="0" borderId="7" xfId="1" applyFont="1" applyBorder="1"/>
    <xf numFmtId="0" fontId="17" fillId="0" borderId="3" xfId="1" applyFont="1" applyBorder="1" applyAlignment="1">
      <alignment horizontal="center" vertical="center"/>
    </xf>
    <xf numFmtId="4" fontId="16" fillId="0" borderId="12" xfId="1" applyNumberFormat="1" applyFont="1" applyBorder="1" applyAlignment="1">
      <alignment horizontal="right" vertical="center"/>
    </xf>
    <xf numFmtId="0" fontId="17" fillId="0" borderId="4" xfId="1" applyFont="1" applyBorder="1" applyAlignment="1">
      <alignment horizontal="center" vertical="center"/>
    </xf>
    <xf numFmtId="4" fontId="16" fillId="0" borderId="4" xfId="1" applyNumberFormat="1" applyFont="1" applyBorder="1" applyAlignment="1">
      <alignment horizontal="right" vertical="center"/>
    </xf>
    <xf numFmtId="0" fontId="8" fillId="0" borderId="3" xfId="1" applyFont="1" applyBorder="1" applyAlignment="1">
      <alignment horizontal="center" vertical="center"/>
    </xf>
    <xf numFmtId="0" fontId="8" fillId="0" borderId="4" xfId="1" applyFont="1" applyBorder="1"/>
    <xf numFmtId="0" fontId="8" fillId="0" borderId="5" xfId="1" applyFont="1" applyBorder="1"/>
    <xf numFmtId="0" fontId="18" fillId="0" borderId="18" xfId="1" applyFont="1" applyBorder="1" applyAlignment="1">
      <alignment horizontal="center" vertical="top"/>
    </xf>
    <xf numFmtId="0" fontId="18" fillId="0" borderId="19" xfId="1" applyFont="1" applyBorder="1" applyAlignment="1">
      <alignment vertical="top" wrapText="1"/>
    </xf>
    <xf numFmtId="4" fontId="18" fillId="0" borderId="15" xfId="1" applyNumberFormat="1" applyFont="1" applyBorder="1" applyAlignment="1">
      <alignment horizontal="right"/>
    </xf>
    <xf numFmtId="4" fontId="18" fillId="0" borderId="20" xfId="1" applyNumberFormat="1" applyFont="1" applyBorder="1" applyAlignment="1">
      <alignment horizontal="right"/>
    </xf>
    <xf numFmtId="4" fontId="18" fillId="0" borderId="18" xfId="1" applyNumberFormat="1" applyFont="1" applyBorder="1" applyAlignment="1">
      <alignment horizontal="right"/>
    </xf>
    <xf numFmtId="0" fontId="8" fillId="0" borderId="10" xfId="1" applyFont="1" applyBorder="1" applyAlignment="1">
      <alignment horizontal="center" vertical="center"/>
    </xf>
    <xf numFmtId="0" fontId="17" fillId="0" borderId="4" xfId="1" applyFont="1" applyBorder="1" applyAlignment="1">
      <alignment horizontal="left" vertical="center"/>
    </xf>
    <xf numFmtId="4" fontId="8" fillId="0" borderId="10" xfId="1" applyNumberFormat="1" applyFont="1" applyBorder="1" applyAlignment="1">
      <alignment horizontal="right" vertical="center"/>
    </xf>
    <xf numFmtId="4" fontId="8" fillId="0" borderId="1" xfId="1" applyNumberFormat="1" applyFont="1" applyBorder="1" applyAlignment="1">
      <alignment horizontal="right" vertical="center"/>
    </xf>
    <xf numFmtId="4" fontId="8" fillId="0" borderId="7" xfId="1" applyNumberFormat="1" applyFont="1" applyBorder="1" applyAlignment="1">
      <alignment horizontal="right" vertical="center"/>
    </xf>
    <xf numFmtId="4" fontId="8" fillId="0" borderId="17" xfId="1" applyNumberFormat="1" applyFont="1" applyBorder="1" applyAlignment="1">
      <alignment horizontal="right" vertical="center"/>
    </xf>
    <xf numFmtId="49" fontId="17" fillId="0" borderId="12" xfId="1" applyNumberFormat="1" applyFont="1" applyBorder="1" applyAlignment="1">
      <alignment horizontal="right"/>
    </xf>
    <xf numFmtId="0" fontId="17" fillId="0" borderId="4" xfId="1" applyFont="1" applyBorder="1"/>
    <xf numFmtId="4" fontId="17" fillId="0" borderId="12" xfId="1" applyNumberFormat="1" applyFont="1" applyBorder="1" applyAlignment="1">
      <alignment horizontal="right" vertical="center"/>
    </xf>
    <xf numFmtId="49" fontId="18" fillId="0" borderId="16" xfId="1" applyNumberFormat="1" applyFont="1" applyBorder="1" applyAlignment="1">
      <alignment horizontal="center"/>
    </xf>
    <xf numFmtId="0" fontId="16" fillId="0" borderId="19" xfId="1" applyFont="1" applyBorder="1" applyAlignment="1">
      <alignment horizontal="left"/>
    </xf>
    <xf numFmtId="4" fontId="16" fillId="0" borderId="16" xfId="1" applyNumberFormat="1" applyFont="1" applyBorder="1" applyAlignment="1">
      <alignment horizontal="right"/>
    </xf>
    <xf numFmtId="49" fontId="17" fillId="0" borderId="7" xfId="1" applyNumberFormat="1" applyFont="1" applyBorder="1" applyAlignment="1">
      <alignment horizontal="center"/>
    </xf>
    <xf numFmtId="0" fontId="8" fillId="0" borderId="7" xfId="1" applyFont="1" applyBorder="1" applyAlignment="1">
      <alignment horizontal="left"/>
    </xf>
    <xf numFmtId="4" fontId="8" fillId="0" borderId="7" xfId="1" applyNumberFormat="1" applyFont="1" applyBorder="1" applyAlignment="1">
      <alignment horizontal="right"/>
    </xf>
    <xf numFmtId="49" fontId="17" fillId="0" borderId="6" xfId="1" applyNumberFormat="1" applyFont="1" applyBorder="1" applyAlignment="1">
      <alignment horizontal="right" vertical="top"/>
    </xf>
    <xf numFmtId="0" fontId="8" fillId="0" borderId="6" xfId="1" applyFont="1" applyBorder="1" applyAlignment="1">
      <alignment horizontal="left" wrapText="1"/>
    </xf>
    <xf numFmtId="4" fontId="8" fillId="0" borderId="6" xfId="1" applyNumberFormat="1" applyFont="1" applyBorder="1" applyAlignment="1">
      <alignment horizontal="right"/>
    </xf>
    <xf numFmtId="0" fontId="8" fillId="0" borderId="6" xfId="1" applyFont="1" applyBorder="1" applyAlignment="1">
      <alignment wrapText="1"/>
    </xf>
    <xf numFmtId="49" fontId="8" fillId="0" borderId="6" xfId="1" applyNumberFormat="1" applyFont="1" applyBorder="1" applyAlignment="1">
      <alignment horizontal="right" vertical="top"/>
    </xf>
    <xf numFmtId="0" fontId="8" fillId="0" borderId="6" xfId="1" applyFont="1" applyBorder="1"/>
    <xf numFmtId="49" fontId="17" fillId="0" borderId="6" xfId="1" applyNumberFormat="1" applyFont="1" applyBorder="1" applyAlignment="1">
      <alignment horizontal="center"/>
    </xf>
    <xf numFmtId="0" fontId="8" fillId="0" borderId="6" xfId="1" applyFont="1" applyBorder="1" applyAlignment="1">
      <alignment horizontal="left"/>
    </xf>
    <xf numFmtId="0" fontId="17" fillId="0" borderId="6" xfId="1" applyFont="1" applyBorder="1" applyAlignment="1">
      <alignment vertical="top" wrapText="1"/>
    </xf>
    <xf numFmtId="0" fontId="16" fillId="0" borderId="16" xfId="1" applyFont="1" applyBorder="1" applyAlignment="1">
      <alignment horizontal="left"/>
    </xf>
    <xf numFmtId="3" fontId="8" fillId="0" borderId="7" xfId="1" applyNumberFormat="1" applyFont="1" applyBorder="1" applyAlignment="1">
      <alignment horizontal="right"/>
    </xf>
    <xf numFmtId="4" fontId="8" fillId="0" borderId="6" xfId="1" applyNumberFormat="1" applyFont="1" applyBorder="1"/>
    <xf numFmtId="3" fontId="8" fillId="0" borderId="6" xfId="1" applyNumberFormat="1" applyFont="1" applyBorder="1"/>
    <xf numFmtId="49" fontId="17" fillId="0" borderId="7" xfId="1" applyNumberFormat="1" applyFont="1" applyBorder="1" applyAlignment="1">
      <alignment horizontal="right"/>
    </xf>
    <xf numFmtId="4" fontId="8" fillId="0" borderId="7" xfId="1" applyNumberFormat="1" applyFont="1" applyBorder="1"/>
    <xf numFmtId="3" fontId="8" fillId="0" borderId="7" xfId="1" applyNumberFormat="1" applyFont="1" applyBorder="1"/>
    <xf numFmtId="4" fontId="18" fillId="0" borderId="19" xfId="1" applyNumberFormat="1" applyFont="1" applyBorder="1" applyAlignment="1">
      <alignment horizontal="left"/>
    </xf>
    <xf numFmtId="4" fontId="18" fillId="0" borderId="16" xfId="1" applyNumberFormat="1" applyFont="1" applyBorder="1" applyAlignment="1">
      <alignment horizontal="right"/>
    </xf>
    <xf numFmtId="0" fontId="18" fillId="0" borderId="0" xfId="1" applyFont="1"/>
    <xf numFmtId="4" fontId="8" fillId="0" borderId="17" xfId="1" applyNumberFormat="1" applyFont="1" applyBorder="1" applyAlignment="1">
      <alignment horizontal="right"/>
    </xf>
    <xf numFmtId="49" fontId="18" fillId="0" borderId="6" xfId="1" applyNumberFormat="1" applyFont="1" applyBorder="1" applyAlignment="1">
      <alignment horizontal="center"/>
    </xf>
    <xf numFmtId="0" fontId="16" fillId="0" borderId="6" xfId="1" applyFont="1" applyBorder="1"/>
    <xf numFmtId="0" fontId="17" fillId="0" borderId="16" xfId="1" applyFont="1" applyBorder="1"/>
    <xf numFmtId="0" fontId="16" fillId="0" borderId="16" xfId="1" applyFont="1" applyBorder="1"/>
    <xf numFmtId="0" fontId="8" fillId="0" borderId="17" xfId="1" applyFont="1" applyBorder="1"/>
    <xf numFmtId="0" fontId="17" fillId="0" borderId="6" xfId="1" applyFont="1" applyBorder="1" applyAlignment="1">
      <alignment horizontal="right"/>
    </xf>
    <xf numFmtId="4" fontId="8" fillId="0" borderId="2" xfId="1" applyNumberFormat="1" applyFont="1" applyBorder="1" applyAlignment="1">
      <alignment horizontal="right"/>
    </xf>
    <xf numFmtId="49" fontId="17" fillId="0" borderId="2" xfId="1" applyNumberFormat="1" applyFont="1" applyBorder="1" applyAlignment="1">
      <alignment horizontal="right"/>
    </xf>
    <xf numFmtId="0" fontId="8" fillId="0" borderId="2" xfId="1" applyFont="1" applyBorder="1"/>
    <xf numFmtId="4" fontId="8" fillId="0" borderId="2" xfId="1" applyNumberFormat="1" applyFont="1" applyBorder="1"/>
    <xf numFmtId="0" fontId="17" fillId="0" borderId="7" xfId="1" applyFont="1" applyBorder="1" applyAlignment="1">
      <alignment wrapText="1"/>
    </xf>
    <xf numFmtId="0" fontId="17" fillId="0" borderId="6" xfId="1" applyFont="1" applyBorder="1" applyAlignment="1">
      <alignment wrapText="1"/>
    </xf>
    <xf numFmtId="49" fontId="17" fillId="0" borderId="9" xfId="1" applyNumberFormat="1" applyFont="1" applyBorder="1" applyAlignment="1">
      <alignment horizontal="center"/>
    </xf>
    <xf numFmtId="0" fontId="8" fillId="0" borderId="9" xfId="1" applyFont="1" applyBorder="1"/>
    <xf numFmtId="3" fontId="8" fillId="0" borderId="10" xfId="1" applyNumberFormat="1" applyFont="1" applyBorder="1"/>
    <xf numFmtId="4" fontId="17" fillId="0" borderId="7" xfId="1" applyNumberFormat="1" applyFont="1" applyBorder="1"/>
    <xf numFmtId="4" fontId="17" fillId="0" borderId="2" xfId="1" applyNumberFormat="1" applyFont="1" applyBorder="1"/>
    <xf numFmtId="4" fontId="17" fillId="0" borderId="6" xfId="1" applyNumberFormat="1" applyFont="1" applyBorder="1"/>
    <xf numFmtId="0" fontId="16" fillId="0" borderId="16" xfId="2" applyNumberFormat="1" applyFont="1" applyBorder="1" applyAlignment="1">
      <alignment horizontal="left"/>
    </xf>
    <xf numFmtId="0" fontId="8" fillId="0" borderId="2" xfId="1" applyFont="1" applyBorder="1" applyAlignment="1">
      <alignment horizontal="left"/>
    </xf>
    <xf numFmtId="49" fontId="17" fillId="0" borderId="7" xfId="1" applyNumberFormat="1" applyFont="1" applyBorder="1" applyAlignment="1">
      <alignment horizontal="right" vertical="top"/>
    </xf>
    <xf numFmtId="4" fontId="18" fillId="0" borderId="6" xfId="1" applyNumberFormat="1" applyFont="1" applyBorder="1" applyAlignment="1">
      <alignment horizontal="right"/>
    </xf>
    <xf numFmtId="49" fontId="17" fillId="0" borderId="17" xfId="1" applyNumberFormat="1" applyFont="1" applyBorder="1" applyAlignment="1">
      <alignment horizontal="center"/>
    </xf>
    <xf numFmtId="0" fontId="17" fillId="0" borderId="17" xfId="2" applyNumberFormat="1" applyFont="1" applyBorder="1" applyAlignment="1">
      <alignment horizontal="left"/>
    </xf>
    <xf numFmtId="4" fontId="17" fillId="0" borderId="17" xfId="1" applyNumberFormat="1" applyFont="1" applyBorder="1" applyAlignment="1">
      <alignment horizontal="right"/>
    </xf>
    <xf numFmtId="49" fontId="8" fillId="0" borderId="6" xfId="1" applyNumberFormat="1" applyFont="1" applyBorder="1" applyAlignment="1">
      <alignment horizontal="right"/>
    </xf>
    <xf numFmtId="4" fontId="17" fillId="0" borderId="6" xfId="1" applyNumberFormat="1" applyFont="1" applyBorder="1" applyAlignment="1">
      <alignment horizontal="right"/>
    </xf>
    <xf numFmtId="49" fontId="8" fillId="0" borderId="3" xfId="1" applyNumberFormat="1" applyFont="1" applyBorder="1" applyAlignment="1">
      <alignment horizontal="center" vertical="center"/>
    </xf>
    <xf numFmtId="3" fontId="16" fillId="0" borderId="4" xfId="1" applyNumberFormat="1" applyFont="1" applyBorder="1" applyAlignment="1">
      <alignment horizontal="right" vertical="center"/>
    </xf>
    <xf numFmtId="3" fontId="16" fillId="0" borderId="4" xfId="1" applyNumberFormat="1" applyFont="1" applyBorder="1" applyAlignment="1">
      <alignment horizontal="center" vertical="center"/>
    </xf>
    <xf numFmtId="3" fontId="16" fillId="0" borderId="5" xfId="1" applyNumberFormat="1" applyFont="1" applyBorder="1" applyAlignment="1">
      <alignment horizontal="right" vertical="center"/>
    </xf>
    <xf numFmtId="3" fontId="16" fillId="0" borderId="12" xfId="1" applyNumberFormat="1" applyFont="1" applyBorder="1" applyAlignment="1">
      <alignment horizontal="right" vertical="center"/>
    </xf>
    <xf numFmtId="49" fontId="18" fillId="0" borderId="16" xfId="1" applyNumberFormat="1" applyFont="1" applyBorder="1" applyAlignment="1">
      <alignment horizontal="center" vertical="center"/>
    </xf>
    <xf numFmtId="0" fontId="18" fillId="0" borderId="21" xfId="1" applyFont="1" applyBorder="1" applyAlignment="1">
      <alignment horizontal="left" vertical="center"/>
    </xf>
    <xf numFmtId="49" fontId="17" fillId="0" borderId="17" xfId="1" applyNumberFormat="1" applyFont="1" applyBorder="1" applyAlignment="1">
      <alignment horizontal="center" vertical="center"/>
    </xf>
    <xf numFmtId="0" fontId="17" fillId="0" borderId="22" xfId="1" applyFont="1" applyBorder="1" applyAlignment="1">
      <alignment horizontal="left" vertical="center"/>
    </xf>
    <xf numFmtId="4" fontId="17" fillId="0" borderId="7" xfId="1" applyNumberFormat="1" applyFont="1" applyBorder="1" applyAlignment="1">
      <alignment horizontal="right"/>
    </xf>
    <xf numFmtId="49" fontId="17" fillId="0" borderId="6" xfId="1" applyNumberFormat="1" applyFont="1" applyBorder="1" applyAlignment="1">
      <alignment horizontal="right" vertical="center"/>
    </xf>
    <xf numFmtId="0" fontId="17" fillId="0" borderId="6" xfId="1" applyFont="1" applyBorder="1" applyAlignment="1">
      <alignment horizontal="left" vertical="center"/>
    </xf>
    <xf numFmtId="4" fontId="18" fillId="0" borderId="8" xfId="1" applyNumberFormat="1" applyFont="1" applyBorder="1" applyAlignment="1">
      <alignment horizontal="right" vertical="center"/>
    </xf>
    <xf numFmtId="4" fontId="18" fillId="0" borderId="6" xfId="1" applyNumberFormat="1" applyFont="1" applyBorder="1" applyAlignment="1">
      <alignment horizontal="right" vertical="center"/>
    </xf>
    <xf numFmtId="49" fontId="17" fillId="0" borderId="6" xfId="1" applyNumberFormat="1" applyFont="1" applyBorder="1" applyAlignment="1">
      <alignment horizontal="center" vertical="center"/>
    </xf>
    <xf numFmtId="4" fontId="17" fillId="0" borderId="8" xfId="1" applyNumberFormat="1" applyFont="1" applyBorder="1"/>
    <xf numFmtId="49" fontId="18" fillId="0" borderId="6" xfId="1" applyNumberFormat="1" applyFont="1" applyBorder="1" applyAlignment="1">
      <alignment horizontal="center" vertical="center"/>
    </xf>
    <xf numFmtId="0" fontId="18" fillId="0" borderId="6" xfId="1" applyFont="1" applyBorder="1" applyAlignment="1">
      <alignment horizontal="left" vertical="center"/>
    </xf>
    <xf numFmtId="49" fontId="17" fillId="0" borderId="16" xfId="1" applyNumberFormat="1" applyFont="1" applyBorder="1" applyAlignment="1">
      <alignment horizontal="center" vertical="center"/>
    </xf>
    <xf numFmtId="0" fontId="18" fillId="0" borderId="16" xfId="1" applyFont="1" applyBorder="1" applyAlignment="1">
      <alignment horizontal="left" vertical="center"/>
    </xf>
    <xf numFmtId="49" fontId="17" fillId="0" borderId="7" xfId="1" applyNumberFormat="1" applyFont="1" applyBorder="1" applyAlignment="1">
      <alignment horizontal="center" vertical="center"/>
    </xf>
    <xf numFmtId="0" fontId="17" fillId="0" borderId="7" xfId="1" applyFont="1" applyBorder="1" applyAlignment="1">
      <alignment horizontal="left" vertical="center"/>
    </xf>
    <xf numFmtId="0" fontId="17" fillId="0" borderId="6" xfId="1" applyFont="1" applyBorder="1" applyAlignment="1">
      <alignment horizontal="left" vertical="center" wrapText="1"/>
    </xf>
    <xf numFmtId="0" fontId="17" fillId="0" borderId="11" xfId="1" applyFont="1" applyBorder="1" applyAlignment="1">
      <alignment horizontal="left" vertical="center"/>
    </xf>
    <xf numFmtId="0" fontId="17" fillId="0" borderId="7" xfId="1" applyFont="1" applyBorder="1" applyAlignment="1">
      <alignment horizontal="left" vertical="center" wrapText="1"/>
    </xf>
    <xf numFmtId="0" fontId="17" fillId="0" borderId="7" xfId="1" applyFont="1" applyBorder="1"/>
    <xf numFmtId="4" fontId="17" fillId="0" borderId="2" xfId="1" applyNumberFormat="1" applyFont="1" applyBorder="1" applyAlignment="1">
      <alignment horizontal="right"/>
    </xf>
    <xf numFmtId="4" fontId="17" fillId="0" borderId="13" xfId="1" applyNumberFormat="1" applyFont="1" applyBorder="1"/>
    <xf numFmtId="49" fontId="17" fillId="0" borderId="7" xfId="1" applyNumberFormat="1" applyFont="1" applyBorder="1" applyAlignment="1">
      <alignment horizontal="center" vertical="top"/>
    </xf>
    <xf numFmtId="0" fontId="17" fillId="0" borderId="11" xfId="1" applyFont="1" applyBorder="1" applyAlignment="1">
      <alignment horizontal="left" vertical="center" wrapText="1"/>
    </xf>
    <xf numFmtId="49" fontId="17" fillId="0" borderId="2" xfId="1" applyNumberFormat="1" applyFont="1" applyBorder="1" applyAlignment="1">
      <alignment horizontal="right" vertical="center"/>
    </xf>
    <xf numFmtId="49" fontId="17" fillId="0" borderId="3" xfId="1" applyNumberFormat="1" applyFont="1" applyBorder="1" applyAlignment="1">
      <alignment horizontal="center" vertical="center"/>
    </xf>
    <xf numFmtId="4" fontId="18" fillId="0" borderId="12" xfId="1" applyNumberFormat="1" applyFont="1" applyBorder="1" applyAlignment="1">
      <alignment horizontal="right" vertical="center"/>
    </xf>
    <xf numFmtId="4" fontId="18" fillId="0" borderId="4" xfId="1" applyNumberFormat="1" applyFont="1" applyBorder="1" applyAlignment="1">
      <alignment horizontal="right" vertical="center"/>
    </xf>
    <xf numFmtId="4" fontId="18" fillId="0" borderId="5" xfId="1" applyNumberFormat="1" applyFont="1" applyBorder="1" applyAlignment="1">
      <alignment horizontal="right" vertical="center"/>
    </xf>
    <xf numFmtId="49" fontId="17" fillId="0" borderId="3" xfId="1" applyNumberFormat="1" applyFont="1" applyBorder="1" applyAlignment="1">
      <alignment vertical="center"/>
    </xf>
    <xf numFmtId="3" fontId="18" fillId="0" borderId="4" xfId="1" applyNumberFormat="1" applyFont="1" applyBorder="1" applyAlignment="1">
      <alignment horizontal="right" vertical="center"/>
    </xf>
    <xf numFmtId="3" fontId="18" fillId="0" borderId="4" xfId="1" applyNumberFormat="1" applyFont="1" applyBorder="1" applyAlignment="1">
      <alignment horizontal="center" vertical="center"/>
    </xf>
    <xf numFmtId="3" fontId="18" fillId="0" borderId="5" xfId="1" applyNumberFormat="1" applyFont="1" applyBorder="1" applyAlignment="1">
      <alignment horizontal="right" vertical="center"/>
    </xf>
    <xf numFmtId="4" fontId="18" fillId="0" borderId="18" xfId="1" applyNumberFormat="1" applyFont="1" applyBorder="1" applyAlignment="1">
      <alignment horizontal="right" vertical="center"/>
    </xf>
    <xf numFmtId="4" fontId="18" fillId="0" borderId="15" xfId="1" applyNumberFormat="1" applyFont="1" applyBorder="1" applyAlignment="1">
      <alignment horizontal="right" vertical="center"/>
    </xf>
    <xf numFmtId="49" fontId="17" fillId="0" borderId="23" xfId="1" applyNumberFormat="1" applyFont="1" applyBorder="1" applyAlignment="1">
      <alignment vertical="center"/>
    </xf>
    <xf numFmtId="0" fontId="17" fillId="0" borderId="24" xfId="1" applyFont="1" applyBorder="1" applyAlignment="1">
      <alignment horizontal="left" vertical="center"/>
    </xf>
    <xf numFmtId="4" fontId="17" fillId="0" borderId="24" xfId="1" applyNumberFormat="1" applyFont="1" applyBorder="1" applyAlignment="1">
      <alignment horizontal="right" vertical="center"/>
    </xf>
    <xf numFmtId="4" fontId="17" fillId="0" borderId="23" xfId="1" applyNumberFormat="1" applyFont="1" applyBorder="1" applyAlignment="1">
      <alignment horizontal="right" vertical="center"/>
    </xf>
    <xf numFmtId="4" fontId="17" fillId="0" borderId="17" xfId="1" applyNumberFormat="1" applyFont="1" applyBorder="1" applyAlignment="1">
      <alignment horizontal="right" vertical="center"/>
    </xf>
    <xf numFmtId="4" fontId="17" fillId="0" borderId="22" xfId="1" applyNumberFormat="1" applyFont="1" applyBorder="1" applyAlignment="1">
      <alignment horizontal="right" vertical="center"/>
    </xf>
    <xf numFmtId="49" fontId="8" fillId="0" borderId="6" xfId="1" applyNumberFormat="1" applyFont="1" applyBorder="1" applyAlignment="1">
      <alignment horizontal="right" vertical="center"/>
    </xf>
    <xf numFmtId="0" fontId="8" fillId="0" borderId="8" xfId="1" applyFont="1" applyBorder="1" applyAlignment="1">
      <alignment horizontal="left" vertical="center"/>
    </xf>
    <xf numFmtId="3" fontId="17" fillId="0" borderId="2" xfId="1" applyNumberFormat="1" applyFont="1" applyBorder="1" applyAlignment="1">
      <alignment horizontal="right" vertical="center"/>
    </xf>
    <xf numFmtId="3" fontId="18" fillId="0" borderId="2" xfId="1" applyNumberFormat="1" applyFont="1" applyBorder="1" applyAlignment="1">
      <alignment horizontal="right" vertical="center"/>
    </xf>
    <xf numFmtId="3" fontId="18" fillId="0" borderId="2" xfId="1" applyNumberFormat="1" applyFont="1" applyBorder="1" applyAlignment="1">
      <alignment horizontal="center" vertical="center"/>
    </xf>
    <xf numFmtId="49" fontId="8" fillId="0" borderId="6" xfId="1" applyNumberFormat="1" applyFont="1" applyBorder="1" applyAlignment="1">
      <alignment vertical="center"/>
    </xf>
    <xf numFmtId="3" fontId="18" fillId="0" borderId="6" xfId="1" applyNumberFormat="1" applyFont="1" applyBorder="1" applyAlignment="1">
      <alignment horizontal="right" vertical="center"/>
    </xf>
    <xf numFmtId="3" fontId="18" fillId="0" borderId="6" xfId="1" applyNumberFormat="1" applyFont="1" applyBorder="1" applyAlignment="1">
      <alignment horizontal="center" vertical="center"/>
    </xf>
    <xf numFmtId="49" fontId="8" fillId="0" borderId="7" xfId="1" applyNumberFormat="1" applyFont="1" applyBorder="1" applyAlignment="1">
      <alignment vertical="center"/>
    </xf>
    <xf numFmtId="0" fontId="8" fillId="0" borderId="11" xfId="1" applyFont="1" applyBorder="1" applyAlignment="1">
      <alignment horizontal="left" vertical="center"/>
    </xf>
    <xf numFmtId="4" fontId="17" fillId="0" borderId="7" xfId="1" applyNumberFormat="1" applyFont="1" applyBorder="1" applyAlignment="1">
      <alignment horizontal="right" vertical="center"/>
    </xf>
    <xf numFmtId="4" fontId="18" fillId="0" borderId="7" xfId="1" applyNumberFormat="1" applyFont="1" applyBorder="1" applyAlignment="1">
      <alignment horizontal="right" vertical="center"/>
    </xf>
    <xf numFmtId="49" fontId="16" fillId="0" borderId="16" xfId="1" applyNumberFormat="1" applyFont="1" applyBorder="1" applyAlignment="1">
      <alignment horizontal="center" vertical="center"/>
    </xf>
    <xf numFmtId="0" fontId="16" fillId="0" borderId="21" xfId="1" applyFont="1" applyBorder="1" applyAlignment="1">
      <alignment horizontal="left" vertical="center"/>
    </xf>
    <xf numFmtId="49" fontId="8" fillId="0" borderId="17" xfId="1" applyNumberFormat="1" applyFont="1" applyBorder="1" applyAlignment="1">
      <alignment horizontal="center" vertical="center"/>
    </xf>
    <xf numFmtId="0" fontId="8" fillId="0" borderId="22" xfId="1" applyFont="1" applyBorder="1" applyAlignment="1">
      <alignment horizontal="left" vertical="center"/>
    </xf>
    <xf numFmtId="49" fontId="8" fillId="0" borderId="12" xfId="1" applyNumberFormat="1" applyFont="1" applyBorder="1" applyAlignment="1">
      <alignment vertical="top"/>
    </xf>
    <xf numFmtId="0" fontId="8" fillId="0" borderId="1" xfId="1" applyFont="1" applyBorder="1" applyAlignment="1">
      <alignment horizontal="left" vertical="center" wrapText="1"/>
    </xf>
    <xf numFmtId="4" fontId="17" fillId="0" borderId="12" xfId="1" applyNumberFormat="1" applyFont="1" applyBorder="1" applyAlignment="1">
      <alignment horizontal="right"/>
    </xf>
    <xf numFmtId="49" fontId="8" fillId="0" borderId="2" xfId="1" applyNumberFormat="1" applyFont="1" applyBorder="1" applyAlignment="1">
      <alignment horizontal="right" vertical="center"/>
    </xf>
    <xf numFmtId="0" fontId="8" fillId="0" borderId="0" xfId="1" applyFont="1" applyAlignment="1">
      <alignment horizontal="left" vertical="center"/>
    </xf>
    <xf numFmtId="0" fontId="8" fillId="0" borderId="1" xfId="1" applyFont="1" applyBorder="1" applyAlignment="1">
      <alignment horizontal="left" vertical="center"/>
    </xf>
    <xf numFmtId="49" fontId="8" fillId="0" borderId="7" xfId="1" applyNumberFormat="1" applyFont="1" applyBorder="1" applyAlignment="1">
      <alignment horizontal="center" vertical="center"/>
    </xf>
    <xf numFmtId="49" fontId="8" fillId="0" borderId="12" xfId="1" applyNumberFormat="1" applyFont="1" applyBorder="1" applyAlignment="1">
      <alignment vertical="center"/>
    </xf>
    <xf numFmtId="0" fontId="8" fillId="0" borderId="5" xfId="1" applyFont="1" applyBorder="1" applyAlignment="1">
      <alignment horizontal="left" vertical="center"/>
    </xf>
    <xf numFmtId="0" fontId="8" fillId="0" borderId="6" xfId="1" applyFont="1" applyBorder="1" applyAlignment="1">
      <alignment horizontal="left" vertical="center"/>
    </xf>
    <xf numFmtId="49" fontId="8" fillId="0" borderId="17" xfId="1" applyNumberFormat="1" applyFont="1" applyBorder="1" applyAlignment="1">
      <alignment vertical="center"/>
    </xf>
    <xf numFmtId="4" fontId="17" fillId="0" borderId="6" xfId="1" applyNumberFormat="1" applyFont="1" applyBorder="1" applyAlignment="1">
      <alignment horizontal="right" vertical="center"/>
    </xf>
    <xf numFmtId="49" fontId="8" fillId="0" borderId="3" xfId="1" applyNumberFormat="1" applyFont="1" applyBorder="1" applyAlignment="1">
      <alignment vertical="center"/>
    </xf>
    <xf numFmtId="0" fontId="18" fillId="2" borderId="3" xfId="1" applyFont="1" applyFill="1" applyBorder="1" applyAlignment="1">
      <alignment vertical="center"/>
    </xf>
    <xf numFmtId="0" fontId="16" fillId="2" borderId="5" xfId="1" applyFont="1" applyFill="1" applyBorder="1" applyAlignment="1">
      <alignment horizontal="center" vertical="center"/>
    </xf>
    <xf numFmtId="4" fontId="16" fillId="2" borderId="12" xfId="1" applyNumberFormat="1" applyFont="1" applyFill="1" applyBorder="1" applyAlignment="1">
      <alignment vertical="center"/>
    </xf>
    <xf numFmtId="0" fontId="17" fillId="0" borderId="0" xfId="1" applyFont="1"/>
    <xf numFmtId="14" fontId="7" fillId="0" borderId="0" xfId="1" applyNumberFormat="1" applyFont="1"/>
    <xf numFmtId="0" fontId="22" fillId="0" borderId="0" xfId="1" applyFont="1" applyAlignment="1">
      <alignment horizontal="centerContinuous"/>
    </xf>
    <xf numFmtId="0" fontId="4" fillId="0" borderId="0" xfId="1" applyAlignment="1">
      <alignment horizontal="centerContinuous"/>
    </xf>
    <xf numFmtId="0" fontId="18" fillId="0" borderId="9" xfId="1" applyFont="1" applyBorder="1" applyAlignment="1">
      <alignment horizontal="center"/>
    </xf>
    <xf numFmtId="0" fontId="23" fillId="0" borderId="9" xfId="1" applyFont="1" applyBorder="1" applyAlignment="1">
      <alignment horizontal="center"/>
    </xf>
    <xf numFmtId="0" fontId="18" fillId="0" borderId="6" xfId="1" applyFont="1" applyBorder="1" applyAlignment="1">
      <alignment horizontal="center"/>
    </xf>
    <xf numFmtId="0" fontId="23" fillId="0" borderId="6" xfId="1" applyFont="1" applyBorder="1" applyAlignment="1">
      <alignment horizontal="center"/>
    </xf>
    <xf numFmtId="20" fontId="18" fillId="0" borderId="6" xfId="1" applyNumberFormat="1" applyFont="1" applyBorder="1" applyAlignment="1">
      <alignment horizontal="center"/>
    </xf>
    <xf numFmtId="3" fontId="4" fillId="0" borderId="0" xfId="1" applyNumberFormat="1"/>
    <xf numFmtId="3" fontId="9" fillId="0" borderId="0" xfId="1" applyNumberFormat="1" applyFont="1"/>
    <xf numFmtId="0" fontId="19" fillId="0" borderId="0" xfId="1" applyFont="1"/>
    <xf numFmtId="3" fontId="19" fillId="0" borderId="0" xfId="1" applyNumberFormat="1" applyFont="1"/>
    <xf numFmtId="3" fontId="8" fillId="0" borderId="0" xfId="1" applyNumberFormat="1" applyFont="1"/>
    <xf numFmtId="3" fontId="5" fillId="0" borderId="0" xfId="1" applyNumberFormat="1" applyFont="1"/>
    <xf numFmtId="3" fontId="7" fillId="0" borderId="0" xfId="1" applyNumberFormat="1" applyFont="1"/>
    <xf numFmtId="4" fontId="17" fillId="0" borderId="17" xfId="1" applyNumberFormat="1" applyFont="1" applyBorder="1"/>
    <xf numFmtId="4" fontId="17" fillId="0" borderId="12" xfId="1" applyNumberFormat="1" applyFont="1" applyBorder="1"/>
    <xf numFmtId="4" fontId="18" fillId="0" borderId="15" xfId="1" applyNumberFormat="1" applyFont="1" applyBorder="1"/>
    <xf numFmtId="4" fontId="18" fillId="0" borderId="16" xfId="1" applyNumberFormat="1" applyFont="1" applyBorder="1"/>
    <xf numFmtId="4" fontId="25" fillId="0" borderId="6" xfId="1" applyNumberFormat="1" applyFont="1" applyBorder="1"/>
    <xf numFmtId="4" fontId="25" fillId="0" borderId="6" xfId="1" applyNumberFormat="1" applyFont="1" applyBorder="1" applyAlignment="1">
      <alignment horizontal="right"/>
    </xf>
    <xf numFmtId="4" fontId="25" fillId="0" borderId="2" xfId="1" applyNumberFormat="1" applyFont="1" applyBorder="1"/>
    <xf numFmtId="4" fontId="25" fillId="0" borderId="6" xfId="1" applyNumberFormat="1" applyFont="1" applyBorder="1" applyAlignment="1">
      <alignment horizontal="center"/>
    </xf>
    <xf numFmtId="4" fontId="25" fillId="0" borderId="25" xfId="1" applyNumberFormat="1" applyFont="1" applyBorder="1" applyAlignment="1">
      <alignment horizontal="right"/>
    </xf>
    <xf numFmtId="4" fontId="25" fillId="0" borderId="2" xfId="1" applyNumberFormat="1" applyFont="1" applyBorder="1" applyAlignment="1">
      <alignment horizontal="right"/>
    </xf>
    <xf numFmtId="4" fontId="18" fillId="0" borderId="6" xfId="1" applyNumberFormat="1" applyFont="1" applyBorder="1"/>
    <xf numFmtId="0" fontId="18" fillId="0" borderId="6" xfId="1" applyFont="1" applyBorder="1"/>
    <xf numFmtId="4" fontId="26" fillId="0" borderId="6" xfId="1" applyNumberFormat="1" applyFont="1" applyBorder="1" applyAlignment="1">
      <alignment horizontal="right"/>
    </xf>
    <xf numFmtId="4" fontId="26" fillId="0" borderId="6" xfId="1" applyNumberFormat="1" applyFont="1" applyBorder="1"/>
    <xf numFmtId="0" fontId="23" fillId="0" borderId="0" xfId="1" applyFont="1"/>
    <xf numFmtId="4" fontId="27" fillId="0" borderId="7" xfId="1" applyNumberFormat="1" applyFont="1" applyBorder="1"/>
    <xf numFmtId="0" fontId="16" fillId="0" borderId="5" xfId="1" applyFont="1" applyBorder="1" applyAlignment="1">
      <alignment horizontal="center" vertical="center"/>
    </xf>
    <xf numFmtId="4" fontId="17" fillId="0" borderId="25" xfId="1" applyNumberFormat="1" applyFont="1" applyBorder="1"/>
    <xf numFmtId="0" fontId="18" fillId="0" borderId="15" xfId="1" applyFont="1" applyBorder="1"/>
    <xf numFmtId="0" fontId="17" fillId="0" borderId="9" xfId="1" applyFont="1" applyBorder="1"/>
    <xf numFmtId="0" fontId="17" fillId="0" borderId="10" xfId="1" applyFont="1" applyBorder="1"/>
    <xf numFmtId="0" fontId="17" fillId="0" borderId="6" xfId="1" applyFont="1" applyBorder="1" applyAlignment="1">
      <alignment horizontal="center"/>
    </xf>
    <xf numFmtId="0" fontId="17" fillId="0" borderId="17" xfId="1" applyFont="1" applyBorder="1"/>
    <xf numFmtId="0" fontId="18" fillId="0" borderId="3" xfId="1" applyFont="1" applyBorder="1" applyAlignment="1">
      <alignment vertical="center"/>
    </xf>
    <xf numFmtId="0" fontId="18" fillId="0" borderId="4" xfId="1" applyFont="1" applyBorder="1" applyAlignment="1">
      <alignment vertical="center"/>
    </xf>
    <xf numFmtId="0" fontId="18" fillId="0" borderId="4" xfId="1" applyFont="1" applyBorder="1" applyAlignment="1">
      <alignment horizontal="center" vertical="center"/>
    </xf>
    <xf numFmtId="4" fontId="18" fillId="0" borderId="12" xfId="1" applyNumberFormat="1" applyFont="1" applyBorder="1" applyAlignment="1">
      <alignment vertical="center"/>
    </xf>
    <xf numFmtId="3" fontId="17" fillId="0" borderId="0" xfId="1" applyNumberFormat="1" applyFont="1"/>
    <xf numFmtId="3" fontId="26" fillId="0" borderId="4" xfId="1" applyNumberFormat="1" applyFont="1" applyBorder="1" applyAlignment="1">
      <alignment horizontal="centerContinuous" vertical="center"/>
    </xf>
    <xf numFmtId="3" fontId="26" fillId="0" borderId="5" xfId="1" applyNumberFormat="1" applyFont="1" applyBorder="1" applyAlignment="1">
      <alignment horizontal="centerContinuous" vertical="center"/>
    </xf>
    <xf numFmtId="4" fontId="25" fillId="0" borderId="25" xfId="1" applyNumberFormat="1" applyFont="1" applyBorder="1"/>
    <xf numFmtId="4" fontId="17" fillId="0" borderId="0" xfId="1" applyNumberFormat="1" applyFont="1"/>
    <xf numFmtId="49" fontId="18" fillId="0" borderId="10" xfId="1" applyNumberFormat="1" applyFont="1" applyBorder="1" applyAlignment="1">
      <alignment horizontal="center"/>
    </xf>
    <xf numFmtId="0" fontId="18" fillId="0" borderId="1" xfId="1" applyFont="1" applyBorder="1" applyAlignment="1">
      <alignment horizontal="center"/>
    </xf>
    <xf numFmtId="0" fontId="18" fillId="0" borderId="11" xfId="1" applyFont="1" applyBorder="1" applyAlignment="1">
      <alignment horizontal="center"/>
    </xf>
    <xf numFmtId="4" fontId="18" fillId="0" borderId="7" xfId="1" applyNumberFormat="1" applyFont="1" applyBorder="1" applyAlignment="1">
      <alignment horizontal="right"/>
    </xf>
    <xf numFmtId="4" fontId="24" fillId="0" borderId="0" xfId="1" applyNumberFormat="1" applyFont="1"/>
    <xf numFmtId="0" fontId="28" fillId="0" borderId="0" xfId="1" applyFont="1"/>
    <xf numFmtId="0" fontId="4" fillId="0" borderId="0" xfId="1" applyAlignment="1">
      <alignment vertical="center"/>
    </xf>
    <xf numFmtId="0" fontId="18" fillId="0" borderId="0" xfId="3" applyFont="1" applyAlignment="1">
      <alignment horizontal="center" vertical="center"/>
    </xf>
    <xf numFmtId="0" fontId="17" fillId="0" borderId="0" xfId="3" applyFont="1" applyAlignment="1">
      <alignment horizontal="center" vertical="center"/>
    </xf>
    <xf numFmtId="0" fontId="17" fillId="0" borderId="0" xfId="3" applyFont="1"/>
    <xf numFmtId="0" fontId="17" fillId="0" borderId="0" xfId="3" applyFont="1" applyAlignment="1">
      <alignment horizontal="right" vertical="center"/>
    </xf>
    <xf numFmtId="0" fontId="29" fillId="0" borderId="0" xfId="3" applyFont="1" applyAlignment="1">
      <alignment horizontal="right" vertical="center"/>
    </xf>
    <xf numFmtId="0" fontId="4" fillId="0" borderId="0" xfId="3" applyFont="1"/>
    <xf numFmtId="0" fontId="4" fillId="0" borderId="0" xfId="3" applyFont="1" applyAlignment="1">
      <alignment horizontal="right"/>
    </xf>
    <xf numFmtId="0" fontId="29" fillId="0" borderId="0" xfId="3" applyFont="1"/>
    <xf numFmtId="4" fontId="29" fillId="0" borderId="0" xfId="3" applyNumberFormat="1" applyFont="1"/>
    <xf numFmtId="0" fontId="4" fillId="0" borderId="0" xfId="3" applyFont="1" applyAlignment="1">
      <alignment vertical="center"/>
    </xf>
    <xf numFmtId="4" fontId="24" fillId="0" borderId="0" xfId="3" applyNumberFormat="1" applyFont="1"/>
    <xf numFmtId="0" fontId="30" fillId="0" borderId="0" xfId="3" applyFont="1"/>
    <xf numFmtId="4" fontId="30" fillId="0" borderId="0" xfId="3" applyNumberFormat="1" applyFont="1"/>
    <xf numFmtId="0" fontId="5" fillId="0" borderId="0" xfId="3" applyFont="1"/>
    <xf numFmtId="0" fontId="5" fillId="0" borderId="0" xfId="3" applyFont="1" applyAlignment="1">
      <alignment horizontal="left" vertical="center"/>
    </xf>
    <xf numFmtId="0" fontId="5" fillId="0" borderId="0" xfId="3" applyFont="1" applyAlignment="1">
      <alignment vertical="center"/>
    </xf>
    <xf numFmtId="43" fontId="24" fillId="0" borderId="0" xfId="3" applyNumberFormat="1" applyFont="1" applyAlignment="1">
      <alignment horizontal="right" vertical="center"/>
    </xf>
    <xf numFmtId="0" fontId="24" fillId="0" borderId="0" xfId="3" applyFont="1" applyAlignment="1">
      <alignment horizontal="left" vertical="center"/>
    </xf>
    <xf numFmtId="0" fontId="18" fillId="0" borderId="0" xfId="3" applyFont="1" applyAlignment="1">
      <alignment horizontal="centerContinuous" vertical="center"/>
    </xf>
    <xf numFmtId="0" fontId="18" fillId="0" borderId="0" xfId="3" applyFont="1" applyAlignment="1">
      <alignment horizontal="centerContinuous"/>
    </xf>
    <xf numFmtId="0" fontId="31" fillId="0" borderId="0" xfId="3" applyFont="1" applyAlignment="1">
      <alignment horizontal="left"/>
    </xf>
    <xf numFmtId="4" fontId="30" fillId="0" borderId="0" xfId="3" applyNumberFormat="1" applyFont="1" applyAlignment="1">
      <alignment horizontal="right"/>
    </xf>
    <xf numFmtId="0" fontId="30" fillId="0" borderId="0" xfId="3" applyFont="1" applyAlignment="1">
      <alignment horizontal="left"/>
    </xf>
    <xf numFmtId="4" fontId="31" fillId="0" borderId="0" xfId="3" applyNumberFormat="1" applyFont="1"/>
    <xf numFmtId="0" fontId="31" fillId="0" borderId="0" xfId="3" applyFont="1"/>
    <xf numFmtId="0" fontId="32" fillId="0" borderId="0" xfId="3" applyFont="1"/>
    <xf numFmtId="0" fontId="17" fillId="0" borderId="0" xfId="3" applyFont="1" applyAlignment="1">
      <alignment horizontal="centerContinuous"/>
    </xf>
    <xf numFmtId="0" fontId="18" fillId="0" borderId="0" xfId="3" applyFont="1" applyAlignment="1">
      <alignment horizontal="right" vertical="center"/>
    </xf>
    <xf numFmtId="0" fontId="17" fillId="0" borderId="0" xfId="3" applyFont="1" applyAlignment="1">
      <alignment horizontal="center"/>
    </xf>
    <xf numFmtId="0" fontId="18" fillId="3" borderId="2" xfId="3" applyFont="1" applyFill="1" applyBorder="1" applyAlignment="1">
      <alignment horizontal="center" vertical="center"/>
    </xf>
    <xf numFmtId="0" fontId="17" fillId="3" borderId="2" xfId="3" applyFont="1" applyFill="1" applyBorder="1" applyAlignment="1">
      <alignment horizontal="center" vertical="center"/>
    </xf>
    <xf numFmtId="0" fontId="18" fillId="0" borderId="2" xfId="3" applyFont="1" applyBorder="1" applyAlignment="1">
      <alignment horizontal="center" vertical="center"/>
    </xf>
    <xf numFmtId="0" fontId="18" fillId="3" borderId="3" xfId="3" applyFont="1" applyFill="1" applyBorder="1" applyAlignment="1">
      <alignment horizontal="centerContinuous" vertical="center"/>
    </xf>
    <xf numFmtId="0" fontId="18" fillId="3" borderId="26" xfId="3" applyFont="1" applyFill="1" applyBorder="1" applyAlignment="1">
      <alignment horizontal="centerContinuous" vertical="center"/>
    </xf>
    <xf numFmtId="0" fontId="18" fillId="3" borderId="4" xfId="3" applyFont="1" applyFill="1" applyBorder="1" applyAlignment="1">
      <alignment horizontal="centerContinuous" vertical="center"/>
    </xf>
    <xf numFmtId="0" fontId="18" fillId="3" borderId="14" xfId="3" applyFont="1" applyFill="1" applyBorder="1" applyAlignment="1">
      <alignment horizontal="centerContinuous" vertical="center"/>
    </xf>
    <xf numFmtId="0" fontId="18" fillId="3" borderId="26" xfId="3" applyFont="1" applyFill="1" applyBorder="1" applyAlignment="1">
      <alignment horizontal="center" vertical="center"/>
    </xf>
    <xf numFmtId="0" fontId="18" fillId="3" borderId="14" xfId="3" applyFont="1" applyFill="1" applyBorder="1" applyAlignment="1">
      <alignment horizontal="center" vertical="center"/>
    </xf>
    <xf numFmtId="0" fontId="29" fillId="0" borderId="0" xfId="3" applyFont="1" applyAlignment="1">
      <alignment horizontal="center" vertical="center"/>
    </xf>
    <xf numFmtId="4" fontId="30" fillId="0" borderId="0" xfId="3" applyNumberFormat="1" applyFont="1" applyAlignment="1">
      <alignment horizontal="right" vertical="center"/>
    </xf>
    <xf numFmtId="0" fontId="30" fillId="0" borderId="0" xfId="3" applyFont="1" applyAlignment="1">
      <alignment horizontal="left" vertical="center"/>
    </xf>
    <xf numFmtId="4" fontId="29" fillId="0" borderId="0" xfId="3" applyNumberFormat="1" applyFont="1" applyAlignment="1">
      <alignment horizontal="center" vertical="center"/>
    </xf>
    <xf numFmtId="0" fontId="29" fillId="0" borderId="0" xfId="3" applyFont="1" applyAlignment="1">
      <alignment horizontal="left" vertical="center"/>
    </xf>
    <xf numFmtId="0" fontId="18" fillId="3" borderId="6" xfId="3" applyFont="1" applyFill="1" applyBorder="1" applyAlignment="1">
      <alignment horizontal="center" vertical="center"/>
    </xf>
    <xf numFmtId="0" fontId="18" fillId="3" borderId="8" xfId="3" applyFont="1" applyFill="1" applyBorder="1" applyAlignment="1">
      <alignment horizontal="center" vertical="center"/>
    </xf>
    <xf numFmtId="0" fontId="17" fillId="3" borderId="8" xfId="3" applyFont="1" applyFill="1" applyBorder="1" applyAlignment="1">
      <alignment horizontal="center" vertical="center"/>
    </xf>
    <xf numFmtId="0" fontId="18" fillId="0" borderId="8" xfId="3" applyFont="1" applyBorder="1" applyAlignment="1">
      <alignment horizontal="center" vertical="center"/>
    </xf>
    <xf numFmtId="0" fontId="18" fillId="3" borderId="0" xfId="3" applyFont="1" applyFill="1" applyAlignment="1">
      <alignment horizontal="center" vertical="center"/>
    </xf>
    <xf numFmtId="0" fontId="18" fillId="4" borderId="3" xfId="3" applyFont="1" applyFill="1" applyBorder="1" applyAlignment="1">
      <alignment horizontal="center" vertical="center"/>
    </xf>
    <xf numFmtId="0" fontId="17" fillId="0" borderId="5" xfId="3" applyFont="1" applyBorder="1" applyAlignment="1">
      <alignment horizontal="center" vertical="center" wrapText="1"/>
    </xf>
    <xf numFmtId="0" fontId="17" fillId="0" borderId="0" xfId="3" applyFont="1" applyAlignment="1">
      <alignment horizontal="center" vertical="center" wrapText="1"/>
    </xf>
    <xf numFmtId="0" fontId="17" fillId="0" borderId="6" xfId="3" applyFont="1" applyBorder="1" applyAlignment="1">
      <alignment horizontal="center" vertical="center" wrapText="1"/>
    </xf>
    <xf numFmtId="4" fontId="30" fillId="0" borderId="0" xfId="3" applyNumberFormat="1" applyFont="1" applyAlignment="1">
      <alignment vertical="center"/>
    </xf>
    <xf numFmtId="0" fontId="30" fillId="0" borderId="0" xfId="3" applyFont="1" applyAlignment="1">
      <alignment vertical="center"/>
    </xf>
    <xf numFmtId="0" fontId="29" fillId="0" borderId="0" xfId="3" applyFont="1" applyAlignment="1">
      <alignment vertical="center"/>
    </xf>
    <xf numFmtId="0" fontId="30" fillId="0" borderId="0" xfId="3" applyFont="1" applyAlignment="1">
      <alignment horizontal="center" vertical="center"/>
    </xf>
    <xf numFmtId="0" fontId="18" fillId="3" borderId="7" xfId="3" applyFont="1" applyFill="1" applyBorder="1" applyAlignment="1">
      <alignment horizontal="center" vertical="center"/>
    </xf>
    <xf numFmtId="0" fontId="18" fillId="3" borderId="11" xfId="3" applyFont="1" applyFill="1" applyBorder="1" applyAlignment="1">
      <alignment horizontal="center" vertical="center"/>
    </xf>
    <xf numFmtId="0" fontId="17" fillId="3" borderId="11" xfId="3" applyFont="1" applyFill="1" applyBorder="1" applyAlignment="1">
      <alignment horizontal="center" vertical="center"/>
    </xf>
    <xf numFmtId="0" fontId="18" fillId="0" borderId="11" xfId="3" applyFont="1" applyBorder="1" applyAlignment="1">
      <alignment horizontal="center" vertical="center"/>
    </xf>
    <xf numFmtId="0" fontId="17" fillId="3" borderId="12" xfId="3" applyFont="1" applyFill="1" applyBorder="1" applyAlignment="1">
      <alignment horizontal="center" vertical="center"/>
    </xf>
    <xf numFmtId="0" fontId="17" fillId="0" borderId="12" xfId="3" applyFont="1" applyBorder="1" applyAlignment="1">
      <alignment horizontal="center" vertical="center"/>
    </xf>
    <xf numFmtId="0" fontId="17" fillId="0" borderId="3" xfId="3" applyFont="1" applyBorder="1" applyAlignment="1">
      <alignment horizontal="center" vertical="center"/>
    </xf>
    <xf numFmtId="0" fontId="17" fillId="3" borderId="14" xfId="3" applyFont="1" applyFill="1" applyBorder="1" applyAlignment="1">
      <alignment horizontal="center" vertical="center"/>
    </xf>
    <xf numFmtId="0" fontId="17" fillId="3" borderId="5" xfId="3" applyFont="1" applyFill="1" applyBorder="1" applyAlignment="1">
      <alignment horizontal="center" vertical="center"/>
    </xf>
    <xf numFmtId="0" fontId="17" fillId="3" borderId="4" xfId="3" applyFont="1" applyFill="1" applyBorder="1" applyAlignment="1">
      <alignment horizontal="center" vertical="center"/>
    </xf>
    <xf numFmtId="0" fontId="34" fillId="0" borderId="0" xfId="3" applyFont="1"/>
    <xf numFmtId="3" fontId="34" fillId="0" borderId="0" xfId="3" applyNumberFormat="1" applyFont="1"/>
    <xf numFmtId="4" fontId="34" fillId="0" borderId="0" xfId="3" applyNumberFormat="1" applyFont="1"/>
    <xf numFmtId="4" fontId="29" fillId="0" borderId="0" xfId="3" applyNumberFormat="1" applyFont="1" applyAlignment="1">
      <alignment vertical="center"/>
    </xf>
    <xf numFmtId="1" fontId="18" fillId="0" borderId="12" xfId="3" applyNumberFormat="1" applyFont="1" applyBorder="1" applyAlignment="1">
      <alignment horizontal="center" vertical="center" wrapText="1"/>
    </xf>
    <xf numFmtId="0" fontId="18" fillId="0" borderId="12" xfId="3" applyFont="1" applyBorder="1" applyAlignment="1">
      <alignment vertical="center" wrapText="1"/>
    </xf>
    <xf numFmtId="4" fontId="18" fillId="0" borderId="12" xfId="3" applyNumberFormat="1" applyFont="1" applyBorder="1" applyAlignment="1">
      <alignment horizontal="right" vertical="center" wrapText="1"/>
    </xf>
    <xf numFmtId="1" fontId="17" fillId="0" borderId="7" xfId="3" applyNumberFormat="1" applyFont="1" applyBorder="1" applyAlignment="1">
      <alignment horizontal="center" vertical="center" wrapText="1"/>
    </xf>
    <xf numFmtId="3" fontId="35" fillId="0" borderId="12" xfId="3" applyNumberFormat="1" applyFont="1" applyBorder="1" applyAlignment="1">
      <alignment horizontal="center" vertical="center" wrapText="1"/>
    </xf>
    <xf numFmtId="0" fontId="17" fillId="0" borderId="12" xfId="3" applyFont="1" applyBorder="1" applyAlignment="1">
      <alignment vertical="center" wrapText="1"/>
    </xf>
    <xf numFmtId="4" fontId="17" fillId="0" borderId="12" xfId="3" applyNumberFormat="1" applyFont="1" applyBorder="1" applyAlignment="1">
      <alignment horizontal="right" vertical="center" wrapText="1"/>
    </xf>
    <xf numFmtId="0" fontId="36" fillId="0" borderId="0" xfId="3" applyFont="1" applyAlignment="1">
      <alignment vertical="center"/>
    </xf>
    <xf numFmtId="1" fontId="24" fillId="0" borderId="7" xfId="3" applyNumberFormat="1" applyFont="1" applyBorder="1" applyAlignment="1">
      <alignment horizontal="center" vertical="center" wrapText="1"/>
    </xf>
    <xf numFmtId="49" fontId="17" fillId="0" borderId="7" xfId="3" applyNumberFormat="1" applyFont="1" applyBorder="1" applyAlignment="1">
      <alignment horizontal="center" vertical="center" wrapText="1"/>
    </xf>
    <xf numFmtId="0" fontId="17" fillId="0" borderId="7" xfId="3" applyFont="1" applyBorder="1" applyAlignment="1">
      <alignment vertical="center" wrapText="1"/>
    </xf>
    <xf numFmtId="4" fontId="17" fillId="0" borderId="7" xfId="3" applyNumberFormat="1" applyFont="1" applyBorder="1" applyAlignment="1">
      <alignment horizontal="right" vertical="center" wrapText="1"/>
    </xf>
    <xf numFmtId="0" fontId="36" fillId="0" borderId="0" xfId="3" applyFont="1"/>
    <xf numFmtId="1" fontId="18" fillId="0" borderId="7" xfId="3" applyNumberFormat="1" applyFont="1" applyBorder="1" applyAlignment="1">
      <alignment horizontal="center" vertical="center" wrapText="1"/>
    </xf>
    <xf numFmtId="0" fontId="17" fillId="0" borderId="12" xfId="3" applyFont="1" applyBorder="1" applyAlignment="1">
      <alignment vertical="center"/>
    </xf>
    <xf numFmtId="43" fontId="17" fillId="0" borderId="12" xfId="4" applyFont="1" applyFill="1" applyBorder="1" applyAlignment="1">
      <alignment horizontal="right" vertical="center"/>
    </xf>
    <xf numFmtId="43" fontId="17" fillId="0" borderId="12" xfId="4" applyFont="1" applyBorder="1" applyAlignment="1">
      <alignment horizontal="right" vertical="center"/>
    </xf>
    <xf numFmtId="0" fontId="18" fillId="0" borderId="7" xfId="3" applyFont="1" applyBorder="1" applyAlignment="1">
      <alignment vertical="center" wrapText="1"/>
    </xf>
    <xf numFmtId="4" fontId="18" fillId="0" borderId="7" xfId="3" applyNumberFormat="1" applyFont="1" applyBorder="1" applyAlignment="1">
      <alignment horizontal="right" vertical="center" wrapText="1"/>
    </xf>
    <xf numFmtId="0" fontId="18" fillId="0" borderId="12" xfId="3" applyFont="1" applyBorder="1" applyAlignment="1">
      <alignment horizontal="center" vertical="center"/>
    </xf>
    <xf numFmtId="0" fontId="24" fillId="0" borderId="12" xfId="3" applyFont="1" applyBorder="1" applyAlignment="1">
      <alignment horizontal="center" vertical="center"/>
    </xf>
    <xf numFmtId="0" fontId="17" fillId="0" borderId="2" xfId="3" applyFont="1" applyBorder="1" applyAlignment="1">
      <alignment vertical="center" wrapText="1"/>
    </xf>
    <xf numFmtId="4" fontId="17" fillId="0" borderId="12" xfId="5" applyNumberFormat="1" applyFont="1" applyBorder="1" applyAlignment="1">
      <alignment horizontal="right" vertical="center"/>
    </xf>
    <xf numFmtId="4" fontId="17" fillId="0" borderId="12" xfId="3" applyNumberFormat="1" applyFont="1" applyBorder="1" applyAlignment="1">
      <alignment vertical="center" wrapText="1"/>
    </xf>
    <xf numFmtId="4" fontId="17" fillId="0" borderId="12" xfId="3" applyNumberFormat="1" applyFont="1" applyBorder="1" applyAlignment="1">
      <alignment horizontal="right" vertical="center"/>
    </xf>
    <xf numFmtId="0" fontId="24" fillId="0" borderId="12" xfId="3" applyFont="1" applyBorder="1" applyAlignment="1">
      <alignment horizontal="center" vertical="center" wrapText="1"/>
    </xf>
    <xf numFmtId="0" fontId="31" fillId="0" borderId="12" xfId="3" applyFont="1" applyBorder="1" applyAlignment="1">
      <alignment horizontal="center" vertical="center"/>
    </xf>
    <xf numFmtId="0" fontId="29" fillId="0" borderId="12" xfId="3" applyFont="1" applyBorder="1" applyAlignment="1">
      <alignment horizontal="center" vertical="center"/>
    </xf>
    <xf numFmtId="0" fontId="17" fillId="0" borderId="12" xfId="3" applyFont="1" applyBorder="1" applyAlignment="1">
      <alignment horizontal="right" vertical="center"/>
    </xf>
    <xf numFmtId="43" fontId="18" fillId="0" borderId="12" xfId="4" applyFont="1" applyBorder="1" applyAlignment="1">
      <alignment horizontal="right" vertical="center"/>
    </xf>
    <xf numFmtId="2" fontId="18" fillId="0" borderId="12" xfId="4" applyNumberFormat="1" applyFont="1" applyBorder="1" applyAlignment="1">
      <alignment horizontal="right" vertical="center"/>
    </xf>
    <xf numFmtId="4" fontId="18" fillId="0" borderId="12" xfId="3" applyNumberFormat="1" applyFont="1" applyBorder="1" applyAlignment="1">
      <alignment horizontal="right" vertical="center"/>
    </xf>
    <xf numFmtId="0" fontId="38" fillId="0" borderId="0" xfId="3" applyFont="1" applyAlignment="1">
      <alignment vertical="center"/>
    </xf>
    <xf numFmtId="1" fontId="18" fillId="0" borderId="12" xfId="3" applyNumberFormat="1" applyFont="1" applyBorder="1" applyAlignment="1">
      <alignment vertical="center" wrapText="1"/>
    </xf>
    <xf numFmtId="1" fontId="17" fillId="0" borderId="12" xfId="3" applyNumberFormat="1" applyFont="1" applyBorder="1" applyAlignment="1">
      <alignment vertical="center" wrapText="1"/>
    </xf>
    <xf numFmtId="0" fontId="18" fillId="0" borderId="12" xfId="3" applyFont="1" applyBorder="1" applyAlignment="1">
      <alignment vertical="center"/>
    </xf>
    <xf numFmtId="1" fontId="17" fillId="5" borderId="12" xfId="3" applyNumberFormat="1" applyFont="1" applyFill="1" applyBorder="1" applyAlignment="1">
      <alignment horizontal="center" vertical="center" wrapText="1"/>
    </xf>
    <xf numFmtId="0" fontId="17" fillId="0" borderId="12" xfId="3" applyFont="1" applyBorder="1" applyAlignment="1">
      <alignment horizontal="left" vertical="center" wrapText="1"/>
    </xf>
    <xf numFmtId="0" fontId="17" fillId="5" borderId="12" xfId="3" applyFont="1" applyFill="1" applyBorder="1" applyAlignment="1">
      <alignment horizontal="center" vertical="center"/>
    </xf>
    <xf numFmtId="0" fontId="18" fillId="0" borderId="12" xfId="5" applyFont="1" applyBorder="1" applyAlignment="1">
      <alignment horizontal="left" vertical="center" wrapText="1"/>
    </xf>
    <xf numFmtId="4" fontId="18" fillId="0" borderId="12" xfId="5" applyNumberFormat="1" applyFont="1" applyBorder="1" applyAlignment="1">
      <alignment horizontal="right" vertical="center"/>
    </xf>
    <xf numFmtId="4" fontId="18" fillId="0" borderId="11" xfId="3" applyNumberFormat="1" applyFont="1" applyBorder="1" applyAlignment="1">
      <alignment horizontal="right" vertical="center" wrapText="1"/>
    </xf>
    <xf numFmtId="0" fontId="17" fillId="0" borderId="12" xfId="5" applyFont="1" applyBorder="1" applyAlignment="1">
      <alignment horizontal="left" vertical="center" wrapText="1"/>
    </xf>
    <xf numFmtId="4" fontId="17" fillId="0" borderId="1" xfId="5" applyNumberFormat="1" applyFont="1" applyBorder="1" applyAlignment="1">
      <alignment horizontal="right" vertical="center"/>
    </xf>
    <xf numFmtId="4" fontId="17" fillId="0" borderId="12" xfId="5" applyNumberFormat="1" applyFont="1" applyBorder="1" applyAlignment="1">
      <alignment horizontal="right" vertical="center" wrapText="1"/>
    </xf>
    <xf numFmtId="4" fontId="17" fillId="0" borderId="11" xfId="3" applyNumberFormat="1" applyFont="1" applyBorder="1" applyAlignment="1">
      <alignment horizontal="right" vertical="center" wrapText="1"/>
    </xf>
    <xf numFmtId="0" fontId="17" fillId="0" borderId="27" xfId="5" applyFont="1" applyBorder="1" applyAlignment="1">
      <alignment vertical="center" wrapText="1"/>
    </xf>
    <xf numFmtId="4" fontId="17" fillId="0" borderId="28" xfId="5" applyNumberFormat="1" applyFont="1" applyBorder="1" applyAlignment="1">
      <alignment horizontal="right" vertical="center"/>
    </xf>
    <xf numFmtId="0" fontId="38" fillId="0" borderId="0" xfId="3" applyFont="1" applyAlignment="1">
      <alignment vertical="center" wrapText="1"/>
    </xf>
    <xf numFmtId="4" fontId="17" fillId="0" borderId="3" xfId="3" applyNumberFormat="1" applyFont="1" applyBorder="1" applyAlignment="1">
      <alignment horizontal="right" vertical="center" wrapText="1"/>
    </xf>
    <xf numFmtId="0" fontId="17" fillId="0" borderId="28" xfId="5" applyFont="1" applyBorder="1" applyAlignment="1">
      <alignment vertical="center" wrapText="1"/>
    </xf>
    <xf numFmtId="0" fontId="17" fillId="0" borderId="29" xfId="5" applyFont="1" applyBorder="1" applyAlignment="1">
      <alignment horizontal="left" vertical="center" wrapText="1"/>
    </xf>
    <xf numFmtId="4" fontId="17" fillId="0" borderId="29" xfId="5" applyNumberFormat="1" applyFont="1" applyBorder="1" applyAlignment="1">
      <alignment horizontal="right" vertical="center"/>
    </xf>
    <xf numFmtId="0" fontId="18" fillId="0" borderId="12" xfId="3" applyFont="1" applyBorder="1" applyAlignment="1">
      <alignment horizontal="left" vertical="center" wrapText="1"/>
    </xf>
    <xf numFmtId="0" fontId="17" fillId="0" borderId="2" xfId="3" applyFont="1" applyBorder="1" applyAlignment="1">
      <alignment horizontal="center" vertical="center"/>
    </xf>
    <xf numFmtId="0" fontId="18" fillId="0" borderId="2" xfId="3" applyFont="1" applyBorder="1" applyAlignment="1">
      <alignment vertical="center" wrapText="1"/>
    </xf>
    <xf numFmtId="4" fontId="18" fillId="0" borderId="2" xfId="3" applyNumberFormat="1" applyFont="1" applyBorder="1" applyAlignment="1">
      <alignment horizontal="right" vertical="center"/>
    </xf>
    <xf numFmtId="3" fontId="24" fillId="0" borderId="12" xfId="3" applyNumberFormat="1" applyFont="1" applyBorder="1" applyAlignment="1">
      <alignment horizontal="center" vertical="center" wrapText="1"/>
    </xf>
    <xf numFmtId="0" fontId="36" fillId="0" borderId="9" xfId="3" applyFont="1" applyBorder="1" applyAlignment="1">
      <alignment vertical="center"/>
    </xf>
    <xf numFmtId="0" fontId="18" fillId="0" borderId="7" xfId="3" applyFont="1" applyBorder="1" applyAlignment="1">
      <alignment horizontal="center" vertical="center"/>
    </xf>
    <xf numFmtId="4" fontId="18" fillId="0" borderId="12" xfId="5" applyNumberFormat="1" applyFont="1" applyBorder="1" applyAlignment="1">
      <alignment horizontal="right" vertical="center" wrapText="1"/>
    </xf>
    <xf numFmtId="0" fontId="39" fillId="0" borderId="0" xfId="3" applyFont="1"/>
    <xf numFmtId="0" fontId="40" fillId="0" borderId="0" xfId="3" applyFont="1" applyAlignment="1">
      <alignment vertical="center"/>
    </xf>
    <xf numFmtId="0" fontId="24" fillId="0" borderId="10" xfId="3" applyFont="1" applyBorder="1" applyAlignment="1">
      <alignment horizontal="center" vertical="center"/>
    </xf>
    <xf numFmtId="0" fontId="17" fillId="0" borderId="12" xfId="3" applyFont="1" applyBorder="1" applyAlignment="1">
      <alignment horizontal="center" vertical="center" wrapText="1"/>
    </xf>
    <xf numFmtId="0" fontId="17" fillId="0" borderId="1" xfId="3" applyFont="1" applyBorder="1" applyAlignment="1">
      <alignment vertical="center" wrapText="1"/>
    </xf>
    <xf numFmtId="1" fontId="17" fillId="4" borderId="7" xfId="3" applyNumberFormat="1" applyFont="1" applyFill="1" applyBorder="1" applyAlignment="1">
      <alignment horizontal="center" vertical="center" wrapText="1"/>
    </xf>
    <xf numFmtId="0" fontId="17" fillId="4" borderId="7" xfId="3" applyFont="1" applyFill="1" applyBorder="1" applyAlignment="1">
      <alignment vertical="center" wrapText="1"/>
    </xf>
    <xf numFmtId="4" fontId="17" fillId="0" borderId="30" xfId="5" applyNumberFormat="1" applyFont="1" applyBorder="1" applyAlignment="1">
      <alignment horizontal="right" vertical="center"/>
    </xf>
    <xf numFmtId="4" fontId="17" fillId="0" borderId="31" xfId="5" applyNumberFormat="1" applyFont="1" applyBorder="1" applyAlignment="1">
      <alignment horizontal="right" vertical="center"/>
    </xf>
    <xf numFmtId="4" fontId="17" fillId="0" borderId="32" xfId="5" applyNumberFormat="1" applyFont="1" applyBorder="1" applyAlignment="1">
      <alignment horizontal="right" vertical="center"/>
    </xf>
    <xf numFmtId="1" fontId="17" fillId="4" borderId="12" xfId="6" applyNumberFormat="1" applyFont="1" applyFill="1" applyBorder="1" applyAlignment="1">
      <alignment vertical="center" wrapText="1"/>
    </xf>
    <xf numFmtId="0" fontId="17" fillId="0" borderId="12" xfId="6" applyFont="1" applyBorder="1" applyAlignment="1">
      <alignment horizontal="left" vertical="center" wrapText="1"/>
    </xf>
    <xf numFmtId="4" fontId="17" fillId="4" borderId="12" xfId="6" applyNumberFormat="1" applyFont="1" applyFill="1" applyBorder="1" applyAlignment="1">
      <alignment horizontal="right" vertical="center" wrapText="1"/>
    </xf>
    <xf numFmtId="0" fontId="17" fillId="0" borderId="12" xfId="6" applyFont="1" applyBorder="1" applyAlignment="1">
      <alignment vertical="center"/>
    </xf>
    <xf numFmtId="49" fontId="17" fillId="0" borderId="12" xfId="6" applyNumberFormat="1" applyFont="1" applyBorder="1" applyAlignment="1">
      <alignment vertical="center" wrapText="1"/>
    </xf>
    <xf numFmtId="0" fontId="41" fillId="0" borderId="0" xfId="3" applyFont="1" applyAlignment="1">
      <alignment vertical="center"/>
    </xf>
    <xf numFmtId="4" fontId="17" fillId="0" borderId="12" xfId="6" applyNumberFormat="1" applyFont="1" applyBorder="1" applyAlignment="1">
      <alignment vertical="center"/>
    </xf>
    <xf numFmtId="4" fontId="17" fillId="0" borderId="33" xfId="5" applyNumberFormat="1" applyFont="1" applyBorder="1" applyAlignment="1">
      <alignment horizontal="right" vertical="center"/>
    </xf>
    <xf numFmtId="4" fontId="17" fillId="0" borderId="34" xfId="5" applyNumberFormat="1" applyFont="1" applyBorder="1" applyAlignment="1">
      <alignment horizontal="right" vertical="center"/>
    </xf>
    <xf numFmtId="4" fontId="17" fillId="0" borderId="2" xfId="3" applyNumberFormat="1" applyFont="1" applyBorder="1" applyAlignment="1">
      <alignment horizontal="right" vertical="center"/>
    </xf>
    <xf numFmtId="0" fontId="17" fillId="0" borderId="2" xfId="3" applyFont="1" applyBorder="1" applyAlignment="1">
      <alignment horizontal="center" vertical="center" wrapText="1"/>
    </xf>
    <xf numFmtId="4" fontId="17" fillId="0" borderId="2" xfId="5" applyNumberFormat="1" applyFont="1" applyBorder="1" applyAlignment="1">
      <alignment horizontal="right" vertical="center"/>
    </xf>
    <xf numFmtId="0" fontId="17" fillId="0" borderId="6" xfId="3" applyFont="1" applyBorder="1" applyAlignment="1">
      <alignment horizontal="center" vertical="center"/>
    </xf>
    <xf numFmtId="0" fontId="17" fillId="0" borderId="6" xfId="3" applyFont="1" applyBorder="1" applyAlignment="1">
      <alignment horizontal="left" vertical="center" wrapText="1"/>
    </xf>
    <xf numFmtId="4" fontId="17" fillId="0" borderId="6" xfId="3" applyNumberFormat="1" applyFont="1" applyBorder="1" applyAlignment="1">
      <alignment horizontal="right" vertical="center"/>
    </xf>
    <xf numFmtId="0" fontId="18" fillId="0" borderId="6" xfId="3" applyFont="1" applyBorder="1" applyAlignment="1">
      <alignment horizontal="center" vertical="center"/>
    </xf>
    <xf numFmtId="0" fontId="17" fillId="0" borderId="26" xfId="3" applyFont="1" applyBorder="1" applyAlignment="1">
      <alignment horizontal="left" vertical="center" wrapText="1"/>
    </xf>
    <xf numFmtId="49" fontId="17" fillId="0" borderId="12" xfId="6" applyNumberFormat="1" applyFont="1" applyBorder="1" applyAlignment="1">
      <alignment vertical="center"/>
    </xf>
    <xf numFmtId="0" fontId="24" fillId="5" borderId="12" xfId="3" applyFont="1" applyFill="1" applyBorder="1" applyAlignment="1">
      <alignment horizontal="center" vertical="center" wrapText="1"/>
    </xf>
    <xf numFmtId="0" fontId="17" fillId="0" borderId="33" xfId="5" applyFont="1" applyBorder="1" applyAlignment="1">
      <alignment vertical="center" wrapText="1"/>
    </xf>
    <xf numFmtId="43" fontId="17" fillId="0" borderId="33" xfId="4" applyFont="1" applyFill="1" applyBorder="1" applyAlignment="1">
      <alignment vertical="center"/>
    </xf>
    <xf numFmtId="2" fontId="18" fillId="0" borderId="33" xfId="4" applyNumberFormat="1" applyFont="1" applyFill="1" applyBorder="1" applyAlignment="1">
      <alignment vertical="center"/>
    </xf>
    <xf numFmtId="2" fontId="18" fillId="0" borderId="33" xfId="4" applyNumberFormat="1" applyFont="1" applyFill="1" applyBorder="1" applyAlignment="1">
      <alignment horizontal="right" vertical="center"/>
    </xf>
    <xf numFmtId="2" fontId="17" fillId="0" borderId="8" xfId="4" applyNumberFormat="1" applyFont="1" applyFill="1" applyBorder="1" applyAlignment="1">
      <alignment horizontal="right" vertical="center"/>
    </xf>
    <xf numFmtId="2" fontId="17" fillId="0" borderId="12" xfId="4" applyNumberFormat="1" applyFont="1" applyFill="1" applyBorder="1" applyAlignment="1">
      <alignment horizontal="right" vertical="center"/>
    </xf>
    <xf numFmtId="49" fontId="17" fillId="0" borderId="12" xfId="3" applyNumberFormat="1" applyFont="1" applyBorder="1" applyAlignment="1">
      <alignment horizontal="center" vertical="center" wrapText="1"/>
    </xf>
    <xf numFmtId="0" fontId="17" fillId="0" borderId="7" xfId="3" applyFont="1" applyBorder="1" applyAlignment="1">
      <alignment horizontal="left" vertical="center" wrapText="1"/>
    </xf>
    <xf numFmtId="1" fontId="17" fillId="4" borderId="12" xfId="3" applyNumberFormat="1" applyFont="1" applyFill="1" applyBorder="1" applyAlignment="1">
      <alignment horizontal="center" vertical="center" wrapText="1"/>
    </xf>
    <xf numFmtId="4" fontId="17" fillId="4" borderId="12" xfId="3" applyNumberFormat="1" applyFont="1" applyFill="1" applyBorder="1" applyAlignment="1">
      <alignment horizontal="right" vertical="center" wrapText="1"/>
    </xf>
    <xf numFmtId="0" fontId="24" fillId="0" borderId="7" xfId="3" applyFont="1" applyBorder="1" applyAlignment="1">
      <alignment horizontal="center" vertical="center"/>
    </xf>
    <xf numFmtId="4" fontId="17" fillId="4" borderId="7" xfId="3" applyNumberFormat="1" applyFont="1" applyFill="1" applyBorder="1" applyAlignment="1">
      <alignment horizontal="right" vertical="center" wrapText="1"/>
    </xf>
    <xf numFmtId="4" fontId="17" fillId="0" borderId="7" xfId="5" applyNumberFormat="1" applyFont="1" applyBorder="1" applyAlignment="1">
      <alignment horizontal="right" vertical="center"/>
    </xf>
    <xf numFmtId="4" fontId="17" fillId="0" borderId="7" xfId="3" applyNumberFormat="1" applyFont="1" applyBorder="1" applyAlignment="1">
      <alignment horizontal="right" vertical="center"/>
    </xf>
    <xf numFmtId="0" fontId="17" fillId="0" borderId="7" xfId="3" applyFont="1" applyBorder="1" applyAlignment="1">
      <alignment vertical="center"/>
    </xf>
    <xf numFmtId="0" fontId="17" fillId="0" borderId="32" xfId="5" applyFont="1" applyBorder="1" applyAlignment="1">
      <alignment vertical="center" wrapText="1"/>
    </xf>
    <xf numFmtId="4" fontId="18" fillId="0" borderId="7" xfId="3" applyNumberFormat="1" applyFont="1" applyBorder="1" applyAlignment="1">
      <alignment horizontal="right" vertical="center"/>
    </xf>
    <xf numFmtId="0" fontId="17" fillId="0" borderId="7" xfId="5" applyFont="1" applyBorder="1" applyAlignment="1">
      <alignment vertical="center" wrapText="1"/>
    </xf>
    <xf numFmtId="0" fontId="18" fillId="0" borderId="28" xfId="5" applyFont="1" applyBorder="1" applyAlignment="1">
      <alignment vertical="center" wrapText="1"/>
    </xf>
    <xf numFmtId="4" fontId="18" fillId="0" borderId="35" xfId="5" applyNumberFormat="1" applyFont="1" applyBorder="1" applyAlignment="1">
      <alignment horizontal="right" vertical="center"/>
    </xf>
    <xf numFmtId="0" fontId="18" fillId="0" borderId="28" xfId="5" applyFont="1" applyBorder="1" applyAlignment="1">
      <alignment vertical="center"/>
    </xf>
    <xf numFmtId="0" fontId="17" fillId="0" borderId="10" xfId="3" applyFont="1" applyBorder="1" applyAlignment="1">
      <alignment vertical="center" wrapText="1"/>
    </xf>
    <xf numFmtId="4" fontId="17" fillId="0" borderId="7" xfId="3" applyNumberFormat="1" applyFont="1" applyBorder="1" applyAlignment="1">
      <alignment vertical="center"/>
    </xf>
    <xf numFmtId="4" fontId="17" fillId="0" borderId="7" xfId="3" applyNumberFormat="1" applyFont="1" applyBorder="1" applyAlignment="1">
      <alignment vertical="center" wrapText="1"/>
    </xf>
    <xf numFmtId="4" fontId="17" fillId="0" borderId="36" xfId="5" applyNumberFormat="1" applyFont="1" applyBorder="1" applyAlignment="1">
      <alignment horizontal="right" vertical="center"/>
    </xf>
    <xf numFmtId="0" fontId="18" fillId="0" borderId="10" xfId="3" applyFont="1" applyBorder="1" applyAlignment="1">
      <alignment horizontal="center" vertical="center"/>
    </xf>
    <xf numFmtId="0" fontId="17" fillId="0" borderId="2" xfId="5" applyFont="1" applyBorder="1" applyAlignment="1">
      <alignment vertical="center" wrapText="1"/>
    </xf>
    <xf numFmtId="4" fontId="18" fillId="0" borderId="27" xfId="3" applyNumberFormat="1" applyFont="1" applyBorder="1" applyAlignment="1">
      <alignment horizontal="right" vertical="center"/>
    </xf>
    <xf numFmtId="0" fontId="18" fillId="0" borderId="3" xfId="3" applyFont="1" applyBorder="1" applyAlignment="1">
      <alignment vertical="center"/>
    </xf>
    <xf numFmtId="0" fontId="17" fillId="0" borderId="12" xfId="5" applyFont="1" applyBorder="1" applyAlignment="1">
      <alignment vertical="center" wrapText="1"/>
    </xf>
    <xf numFmtId="0" fontId="30" fillId="0" borderId="0" xfId="3" applyFont="1" applyAlignment="1">
      <alignment vertical="center" wrapText="1"/>
    </xf>
    <xf numFmtId="4" fontId="17" fillId="0" borderId="35" xfId="5" applyNumberFormat="1" applyFont="1" applyBorder="1" applyAlignment="1">
      <alignment horizontal="right" vertical="center"/>
    </xf>
    <xf numFmtId="0" fontId="17" fillId="0" borderId="37" xfId="5" applyFont="1" applyBorder="1" applyAlignment="1">
      <alignment vertical="center" wrapText="1"/>
    </xf>
    <xf numFmtId="4" fontId="17" fillId="0" borderId="37" xfId="5" applyNumberFormat="1" applyFont="1" applyBorder="1" applyAlignment="1">
      <alignment horizontal="right" vertical="center"/>
    </xf>
    <xf numFmtId="4" fontId="17" fillId="0" borderId="12" xfId="3" applyNumberFormat="1" applyFont="1" applyBorder="1" applyAlignment="1">
      <alignment vertical="center"/>
    </xf>
    <xf numFmtId="4" fontId="17" fillId="0" borderId="38" xfId="5" applyNumberFormat="1" applyFont="1" applyBorder="1" applyAlignment="1">
      <alignment horizontal="right" vertical="center"/>
    </xf>
    <xf numFmtId="43" fontId="18" fillId="0" borderId="12" xfId="4" applyFont="1" applyFill="1" applyBorder="1" applyAlignment="1">
      <alignment horizontal="right" vertical="center"/>
    </xf>
    <xf numFmtId="2" fontId="18" fillId="0" borderId="12" xfId="4" applyNumberFormat="1" applyFont="1" applyFill="1" applyBorder="1" applyAlignment="1">
      <alignment horizontal="right" vertical="center"/>
    </xf>
    <xf numFmtId="0" fontId="18" fillId="0" borderId="39" xfId="3" applyFont="1" applyBorder="1" applyAlignment="1">
      <alignment horizontal="center" vertical="center"/>
    </xf>
    <xf numFmtId="0" fontId="17" fillId="0" borderId="40" xfId="3" applyFont="1" applyBorder="1" applyAlignment="1">
      <alignment horizontal="center" vertical="center" wrapText="1"/>
    </xf>
    <xf numFmtId="0" fontId="18" fillId="0" borderId="40" xfId="3" applyFont="1" applyBorder="1" applyAlignment="1">
      <alignment horizontal="center" vertical="center" wrapText="1"/>
    </xf>
    <xf numFmtId="49" fontId="17" fillId="0" borderId="41" xfId="3" applyNumberFormat="1" applyFont="1" applyBorder="1" applyAlignment="1">
      <alignment horizontal="center" vertical="center" wrapText="1"/>
    </xf>
    <xf numFmtId="0" fontId="18" fillId="0" borderId="41" xfId="3" applyFont="1" applyBorder="1" applyAlignment="1">
      <alignment vertical="center" wrapText="1"/>
    </xf>
    <xf numFmtId="4" fontId="18" fillId="0" borderId="41" xfId="3" applyNumberFormat="1" applyFont="1" applyBorder="1" applyAlignment="1">
      <alignment horizontal="center" vertical="center" wrapText="1"/>
    </xf>
    <xf numFmtId="4" fontId="18" fillId="0" borderId="41" xfId="3" applyNumberFormat="1" applyFont="1" applyBorder="1" applyAlignment="1">
      <alignment vertical="center" wrapText="1"/>
    </xf>
    <xf numFmtId="4" fontId="17" fillId="0" borderId="9" xfId="3" applyNumberFormat="1" applyFont="1" applyBorder="1" applyAlignment="1">
      <alignment horizontal="right" vertical="center"/>
    </xf>
    <xf numFmtId="4" fontId="33" fillId="0" borderId="0" xfId="3" applyNumberFormat="1" applyFont="1" applyAlignment="1">
      <alignment horizontal="center" vertical="center" wrapText="1"/>
    </xf>
    <xf numFmtId="0" fontId="42" fillId="0" borderId="28" xfId="5" applyFont="1" applyBorder="1" applyAlignment="1">
      <alignment horizontal="center" vertical="center"/>
    </xf>
    <xf numFmtId="0" fontId="18" fillId="0" borderId="42" xfId="5" applyFont="1" applyBorder="1" applyAlignment="1">
      <alignment horizontal="center" vertical="center"/>
    </xf>
    <xf numFmtId="0" fontId="43" fillId="0" borderId="0" xfId="3" applyFont="1" applyAlignment="1">
      <alignment vertical="center"/>
    </xf>
    <xf numFmtId="0" fontId="31" fillId="0" borderId="0" xfId="3" applyFont="1" applyAlignment="1">
      <alignment horizontal="center" vertical="center"/>
    </xf>
    <xf numFmtId="0" fontId="29" fillId="0" borderId="0" xfId="3" applyFont="1" applyAlignment="1">
      <alignment horizontal="center"/>
    </xf>
    <xf numFmtId="0" fontId="46" fillId="0" borderId="0" xfId="9"/>
    <xf numFmtId="0" fontId="15" fillId="0" borderId="0" xfId="9" applyFont="1"/>
    <xf numFmtId="0" fontId="8" fillId="0" borderId="0" xfId="0" applyFont="1"/>
    <xf numFmtId="0" fontId="8" fillId="0" borderId="0" xfId="10" applyFont="1"/>
    <xf numFmtId="0" fontId="8" fillId="0" borderId="0" xfId="0" applyFont="1" applyAlignment="1">
      <alignment horizontal="left"/>
    </xf>
    <xf numFmtId="0" fontId="8" fillId="0" borderId="0" xfId="10" applyFont="1" applyAlignment="1">
      <alignment horizontal="left"/>
    </xf>
    <xf numFmtId="0" fontId="47" fillId="0" borderId="0" xfId="9" applyFont="1" applyAlignment="1">
      <alignment horizontal="centerContinuous" vertical="center"/>
    </xf>
    <xf numFmtId="0" fontId="14" fillId="0" borderId="2" xfId="9" applyFont="1" applyBorder="1" applyAlignment="1">
      <alignment horizontal="center" vertical="center"/>
    </xf>
    <xf numFmtId="0" fontId="14" fillId="0" borderId="2" xfId="9" applyFont="1" applyBorder="1" applyAlignment="1">
      <alignment horizontal="center" vertical="center" wrapText="1"/>
    </xf>
    <xf numFmtId="0" fontId="48" fillId="0" borderId="2" xfId="9" applyFont="1" applyBorder="1" applyAlignment="1">
      <alignment horizontal="center" vertical="top" wrapText="1"/>
    </xf>
    <xf numFmtId="0" fontId="14" fillId="0" borderId="3" xfId="9" applyFont="1" applyBorder="1" applyAlignment="1">
      <alignment horizontal="centerContinuous" vertical="center"/>
    </xf>
    <xf numFmtId="0" fontId="14" fillId="0" borderId="5" xfId="9" applyFont="1" applyBorder="1" applyAlignment="1">
      <alignment horizontal="centerContinuous" vertical="center"/>
    </xf>
    <xf numFmtId="0" fontId="14" fillId="0" borderId="4" xfId="9" applyFont="1" applyBorder="1" applyAlignment="1">
      <alignment horizontal="centerContinuous" vertical="center"/>
    </xf>
    <xf numFmtId="0" fontId="14" fillId="0" borderId="6" xfId="9" applyFont="1" applyBorder="1" applyAlignment="1">
      <alignment horizontal="center" vertical="center"/>
    </xf>
    <xf numFmtId="0" fontId="14" fillId="0" borderId="6" xfId="9" applyFont="1" applyBorder="1" applyAlignment="1">
      <alignment horizontal="center" vertical="center" wrapText="1"/>
    </xf>
    <xf numFmtId="0" fontId="48" fillId="0" borderId="6" xfId="9" applyFont="1" applyBorder="1" applyAlignment="1">
      <alignment horizontal="center" vertical="center" wrapText="1"/>
    </xf>
    <xf numFmtId="0" fontId="14" fillId="0" borderId="7" xfId="9" applyFont="1" applyBorder="1" applyAlignment="1">
      <alignment horizontal="center" vertical="center"/>
    </xf>
    <xf numFmtId="0" fontId="48" fillId="0" borderId="7" xfId="9" applyFont="1" applyBorder="1" applyAlignment="1">
      <alignment horizontal="center" vertical="center" wrapText="1"/>
    </xf>
    <xf numFmtId="0" fontId="14" fillId="0" borderId="7" xfId="9" applyFont="1" applyBorder="1" applyAlignment="1">
      <alignment horizontal="center" vertical="center" wrapText="1"/>
    </xf>
    <xf numFmtId="0" fontId="49" fillId="0" borderId="12" xfId="9" applyFont="1" applyBorder="1" applyAlignment="1">
      <alignment horizontal="center" vertical="center"/>
    </xf>
    <xf numFmtId="0" fontId="49" fillId="0" borderId="5" xfId="9" applyFont="1" applyBorder="1" applyAlignment="1">
      <alignment horizontal="center" vertical="center"/>
    </xf>
    <xf numFmtId="0" fontId="47" fillId="0" borderId="2" xfId="9" applyFont="1" applyBorder="1" applyAlignment="1">
      <alignment horizontal="center" vertical="center"/>
    </xf>
    <xf numFmtId="0" fontId="47" fillId="0" borderId="12" xfId="9" applyFont="1" applyBorder="1" applyAlignment="1">
      <alignment vertical="center"/>
    </xf>
    <xf numFmtId="4" fontId="14" fillId="0" borderId="5" xfId="9" applyNumberFormat="1" applyFont="1" applyBorder="1" applyAlignment="1">
      <alignment horizontal="center" vertical="center"/>
    </xf>
    <xf numFmtId="4" fontId="14" fillId="0" borderId="12" xfId="9" applyNumberFormat="1" applyFont="1" applyBorder="1" applyAlignment="1">
      <alignment vertical="center"/>
    </xf>
    <xf numFmtId="4" fontId="15" fillId="0" borderId="0" xfId="9" applyNumberFormat="1" applyFont="1" applyAlignment="1">
      <alignment horizontal="right" vertical="center"/>
    </xf>
    <xf numFmtId="4" fontId="14" fillId="0" borderId="0" xfId="9" applyNumberFormat="1" applyFont="1"/>
    <xf numFmtId="0" fontId="14" fillId="0" borderId="0" xfId="9" applyFont="1"/>
    <xf numFmtId="0" fontId="47" fillId="0" borderId="6" xfId="9" applyFont="1" applyBorder="1" applyAlignment="1">
      <alignment horizontal="center" vertical="center"/>
    </xf>
    <xf numFmtId="4" fontId="15" fillId="0" borderId="0" xfId="9" applyNumberFormat="1" applyFont="1"/>
    <xf numFmtId="43" fontId="15" fillId="0" borderId="0" xfId="7" applyFont="1"/>
    <xf numFmtId="3" fontId="15" fillId="0" borderId="0" xfId="9" applyNumberFormat="1" applyFont="1"/>
    <xf numFmtId="49" fontId="14" fillId="0" borderId="45" xfId="9" applyNumberFormat="1" applyFont="1" applyBorder="1" applyAlignment="1">
      <alignment horizontal="center" vertical="center"/>
    </xf>
    <xf numFmtId="0" fontId="14" fillId="0" borderId="46" xfId="9" applyFont="1" applyBorder="1" applyAlignment="1">
      <alignment vertical="center" wrapText="1"/>
    </xf>
    <xf numFmtId="4" fontId="47" fillId="0" borderId="47" xfId="0" applyNumberFormat="1" applyFont="1" applyBorder="1" applyAlignment="1">
      <alignment horizontal="center" vertical="center"/>
    </xf>
    <xf numFmtId="4" fontId="14" fillId="0" borderId="48" xfId="0" applyNumberFormat="1" applyFont="1" applyBorder="1" applyAlignment="1">
      <alignment horizontal="right" vertical="center"/>
    </xf>
    <xf numFmtId="49" fontId="15" fillId="0" borderId="43" xfId="9" applyNumberFormat="1" applyFont="1" applyBorder="1" applyAlignment="1">
      <alignment horizontal="center" vertical="center"/>
    </xf>
    <xf numFmtId="0" fontId="18" fillId="0" borderId="43" xfId="0" applyFont="1" applyBorder="1" applyAlignment="1">
      <alignment horizontal="left" vertical="center" wrapText="1"/>
    </xf>
    <xf numFmtId="0" fontId="15" fillId="0" borderId="51" xfId="9" applyFont="1" applyBorder="1" applyAlignment="1">
      <alignment horizontal="center" vertical="top"/>
    </xf>
    <xf numFmtId="0" fontId="15" fillId="0" borderId="52" xfId="9" applyFont="1" applyBorder="1" applyAlignment="1">
      <alignment vertical="top" wrapText="1"/>
    </xf>
    <xf numFmtId="0" fontId="15" fillId="0" borderId="55" xfId="9" applyFont="1" applyBorder="1" applyAlignment="1">
      <alignment horizontal="center" vertical="center"/>
    </xf>
    <xf numFmtId="4" fontId="15" fillId="0" borderId="51" xfId="9" applyNumberFormat="1" applyFont="1" applyBorder="1" applyAlignment="1">
      <alignment horizontal="center"/>
    </xf>
    <xf numFmtId="4" fontId="15" fillId="0" borderId="51" xfId="9" applyNumberFormat="1" applyFont="1" applyBorder="1"/>
    <xf numFmtId="4" fontId="15" fillId="0" borderId="56" xfId="9" applyNumberFormat="1" applyFont="1" applyBorder="1"/>
    <xf numFmtId="0" fontId="15" fillId="0" borderId="0" xfId="9" applyFont="1" applyAlignment="1">
      <alignment horizontal="center"/>
    </xf>
    <xf numFmtId="0" fontId="15" fillId="0" borderId="44" xfId="9" applyFont="1" applyBorder="1" applyAlignment="1">
      <alignment horizontal="center" vertical="center"/>
    </xf>
    <xf numFmtId="4" fontId="15" fillId="0" borderId="7" xfId="9" applyNumberFormat="1" applyFont="1" applyBorder="1" applyAlignment="1">
      <alignment horizontal="center"/>
    </xf>
    <xf numFmtId="4" fontId="15" fillId="0" borderId="7" xfId="9" applyNumberFormat="1" applyFont="1" applyBorder="1"/>
    <xf numFmtId="4" fontId="15" fillId="0" borderId="6" xfId="9" applyNumberFormat="1" applyFont="1" applyBorder="1"/>
    <xf numFmtId="4" fontId="15" fillId="0" borderId="44" xfId="9" applyNumberFormat="1" applyFont="1" applyBorder="1"/>
    <xf numFmtId="4" fontId="15" fillId="0" borderId="57" xfId="9" applyNumberFormat="1" applyFont="1" applyBorder="1"/>
    <xf numFmtId="0" fontId="14" fillId="0" borderId="6" xfId="9" applyFont="1" applyBorder="1" applyAlignment="1">
      <alignment vertical="center" wrapText="1"/>
    </xf>
    <xf numFmtId="0" fontId="15" fillId="0" borderId="13" xfId="9" applyFont="1" applyBorder="1" applyAlignment="1">
      <alignment horizontal="center"/>
    </xf>
    <xf numFmtId="4" fontId="15" fillId="0" borderId="26" xfId="9" applyNumberFormat="1" applyFont="1" applyBorder="1"/>
    <xf numFmtId="4" fontId="15" fillId="0" borderId="14" xfId="9" applyNumberFormat="1" applyFont="1" applyBorder="1"/>
    <xf numFmtId="0" fontId="15" fillId="0" borderId="51" xfId="9" applyFont="1" applyBorder="1" applyAlignment="1">
      <alignment horizontal="center" vertical="center"/>
    </xf>
    <xf numFmtId="0" fontId="15" fillId="0" borderId="51" xfId="9" applyFont="1" applyBorder="1"/>
    <xf numFmtId="0" fontId="15" fillId="0" borderId="58" xfId="9" applyFont="1" applyBorder="1" applyAlignment="1">
      <alignment horizontal="center"/>
    </xf>
    <xf numFmtId="4" fontId="15" fillId="0" borderId="58" xfId="9" applyNumberFormat="1" applyFont="1" applyBorder="1"/>
    <xf numFmtId="4" fontId="15" fillId="0" borderId="8" xfId="9" applyNumberFormat="1" applyFont="1" applyBorder="1"/>
    <xf numFmtId="0" fontId="15" fillId="0" borderId="59" xfId="9" applyFont="1" applyBorder="1" applyAlignment="1">
      <alignment horizontal="center"/>
    </xf>
    <xf numFmtId="0" fontId="14" fillId="0" borderId="43" xfId="9" applyFont="1" applyBorder="1" applyAlignment="1">
      <alignment vertical="center" wrapText="1"/>
    </xf>
    <xf numFmtId="0" fontId="15" fillId="0" borderId="0" xfId="9" applyFont="1" applyAlignment="1">
      <alignment horizontal="center" vertical="center"/>
    </xf>
    <xf numFmtId="4" fontId="15" fillId="0" borderId="1" xfId="9" applyNumberFormat="1" applyFont="1" applyBorder="1"/>
    <xf numFmtId="0" fontId="15" fillId="0" borderId="51" xfId="9" applyFont="1" applyBorder="1" applyAlignment="1">
      <alignment wrapText="1"/>
    </xf>
    <xf numFmtId="49" fontId="15" fillId="0" borderId="6" xfId="9" applyNumberFormat="1" applyFont="1" applyBorder="1" applyAlignment="1">
      <alignment horizontal="center" vertical="center"/>
    </xf>
    <xf numFmtId="0" fontId="15" fillId="0" borderId="51" xfId="9" applyFont="1" applyBorder="1" applyAlignment="1">
      <alignment vertical="top" wrapText="1"/>
    </xf>
    <xf numFmtId="0" fontId="15" fillId="0" borderId="7" xfId="9" applyFont="1" applyBorder="1" applyAlignment="1">
      <alignment horizontal="center" vertical="center"/>
    </xf>
    <xf numFmtId="0" fontId="15" fillId="0" borderId="51" xfId="9" applyFont="1" applyBorder="1" applyAlignment="1">
      <alignment horizontal="center"/>
    </xf>
    <xf numFmtId="4" fontId="15" fillId="0" borderId="55" xfId="9" applyNumberFormat="1" applyFont="1" applyBorder="1"/>
    <xf numFmtId="4" fontId="15" fillId="0" borderId="60" xfId="9" applyNumberFormat="1" applyFont="1" applyBorder="1"/>
    <xf numFmtId="0" fontId="15" fillId="0" borderId="44" xfId="9" applyFont="1" applyBorder="1" applyAlignment="1">
      <alignment horizontal="center"/>
    </xf>
    <xf numFmtId="0" fontId="15" fillId="0" borderId="44" xfId="9" applyFont="1" applyBorder="1"/>
    <xf numFmtId="0" fontId="15" fillId="0" borderId="57" xfId="9" applyFont="1" applyBorder="1"/>
    <xf numFmtId="0" fontId="15" fillId="0" borderId="61" xfId="9" applyFont="1" applyBorder="1"/>
    <xf numFmtId="0" fontId="15" fillId="0" borderId="59" xfId="9" applyFont="1" applyBorder="1"/>
    <xf numFmtId="0" fontId="15" fillId="0" borderId="56" xfId="9" applyFont="1" applyBorder="1"/>
    <xf numFmtId="43" fontId="15" fillId="0" borderId="62" xfId="7" applyFont="1" applyFill="1" applyBorder="1"/>
    <xf numFmtId="43" fontId="15" fillId="0" borderId="55" xfId="7" applyFont="1" applyFill="1" applyBorder="1"/>
    <xf numFmtId="43" fontId="15" fillId="0" borderId="60" xfId="7" applyFont="1" applyFill="1" applyBorder="1"/>
    <xf numFmtId="43" fontId="15" fillId="0" borderId="63" xfId="7" applyFont="1" applyFill="1" applyBorder="1"/>
    <xf numFmtId="4" fontId="15" fillId="0" borderId="55" xfId="9" applyNumberFormat="1" applyFont="1" applyBorder="1" applyAlignment="1">
      <alignment horizontal="center"/>
    </xf>
    <xf numFmtId="4" fontId="15" fillId="0" borderId="44" xfId="9" applyNumberFormat="1" applyFont="1" applyBorder="1" applyAlignment="1">
      <alignment horizontal="center"/>
    </xf>
    <xf numFmtId="43" fontId="15" fillId="0" borderId="44" xfId="7" applyFont="1" applyFill="1" applyBorder="1"/>
    <xf numFmtId="43" fontId="15" fillId="0" borderId="61" xfId="7" applyFont="1" applyFill="1" applyBorder="1"/>
    <xf numFmtId="43" fontId="15" fillId="0" borderId="57" xfId="7" applyFont="1" applyFill="1" applyBorder="1"/>
    <xf numFmtId="0" fontId="14" fillId="0" borderId="48" xfId="9" applyFont="1" applyBorder="1" applyAlignment="1">
      <alignment horizontal="center" vertical="center"/>
    </xf>
    <xf numFmtId="0" fontId="14" fillId="0" borderId="64" xfId="9" applyFont="1" applyBorder="1" applyAlignment="1">
      <alignment horizontal="center"/>
    </xf>
    <xf numFmtId="4" fontId="14" fillId="0" borderId="48" xfId="9" applyNumberFormat="1" applyFont="1" applyBorder="1" applyAlignment="1">
      <alignment vertical="center"/>
    </xf>
    <xf numFmtId="0" fontId="14" fillId="0" borderId="48" xfId="9" applyFont="1" applyBorder="1" applyAlignment="1">
      <alignment vertical="center" wrapText="1"/>
    </xf>
    <xf numFmtId="0" fontId="47" fillId="0" borderId="65" xfId="0" applyFont="1" applyBorder="1" applyAlignment="1">
      <alignment horizontal="center" vertical="center" wrapText="1"/>
    </xf>
    <xf numFmtId="4" fontId="14" fillId="0" borderId="48" xfId="0" applyNumberFormat="1" applyFont="1" applyBorder="1" applyAlignment="1">
      <alignment horizontal="right" vertical="center" wrapText="1"/>
    </xf>
    <xf numFmtId="4" fontId="15" fillId="0" borderId="6" xfId="9" applyNumberFormat="1" applyFont="1" applyBorder="1" applyAlignment="1">
      <alignment horizontal="right"/>
    </xf>
    <xf numFmtId="49" fontId="14" fillId="0" borderId="51" xfId="9" applyNumberFormat="1" applyFont="1" applyBorder="1" applyAlignment="1">
      <alignment horizontal="center" vertical="center"/>
    </xf>
    <xf numFmtId="0" fontId="15" fillId="0" borderId="66" xfId="9" applyFont="1" applyBorder="1" applyAlignment="1">
      <alignment horizontal="center"/>
    </xf>
    <xf numFmtId="4" fontId="15" fillId="0" borderId="51" xfId="9" applyNumberFormat="1" applyFont="1" applyBorder="1" applyAlignment="1">
      <alignment horizontal="right"/>
    </xf>
    <xf numFmtId="49" fontId="14" fillId="0" borderId="7" xfId="9" applyNumberFormat="1" applyFont="1" applyBorder="1" applyAlignment="1">
      <alignment horizontal="center" vertical="center"/>
    </xf>
    <xf numFmtId="4" fontId="15" fillId="0" borderId="44" xfId="9" applyNumberFormat="1" applyFont="1" applyBorder="1" applyAlignment="1">
      <alignment horizontal="right"/>
    </xf>
    <xf numFmtId="0" fontId="14" fillId="0" borderId="52" xfId="9" applyFont="1" applyBorder="1" applyAlignment="1">
      <alignment vertical="center" wrapText="1"/>
    </xf>
    <xf numFmtId="0" fontId="15" fillId="0" borderId="61" xfId="9" applyFont="1" applyBorder="1" applyAlignment="1">
      <alignment horizontal="center"/>
    </xf>
    <xf numFmtId="0" fontId="51" fillId="0" borderId="0" xfId="0" applyFont="1" applyAlignment="1">
      <alignment vertical="center"/>
    </xf>
    <xf numFmtId="0" fontId="14" fillId="0" borderId="67" xfId="9" applyFont="1" applyBorder="1" applyAlignment="1">
      <alignment vertical="center" wrapText="1"/>
    </xf>
    <xf numFmtId="0" fontId="14" fillId="0" borderId="45" xfId="9" applyFont="1" applyBorder="1" applyAlignment="1">
      <alignment vertical="center" wrapText="1"/>
    </xf>
    <xf numFmtId="4" fontId="47" fillId="0" borderId="68" xfId="0" applyNumberFormat="1" applyFont="1" applyBorder="1" applyAlignment="1">
      <alignment horizontal="center" vertical="center" wrapText="1"/>
    </xf>
    <xf numFmtId="4" fontId="14" fillId="0" borderId="45" xfId="0" applyNumberFormat="1" applyFont="1" applyBorder="1" applyAlignment="1">
      <alignment horizontal="right" vertical="center" wrapText="1"/>
    </xf>
    <xf numFmtId="49" fontId="15" fillId="0" borderId="52" xfId="9" applyNumberFormat="1" applyFont="1" applyBorder="1" applyAlignment="1">
      <alignment horizontal="center" vertical="center"/>
    </xf>
    <xf numFmtId="4" fontId="47" fillId="0" borderId="69" xfId="0" applyNumberFormat="1" applyFont="1" applyBorder="1" applyAlignment="1">
      <alignment horizontal="center" vertical="center" wrapText="1"/>
    </xf>
    <xf numFmtId="4" fontId="14" fillId="0" borderId="53" xfId="0" applyNumberFormat="1" applyFont="1" applyBorder="1" applyAlignment="1">
      <alignment horizontal="right" vertical="center" wrapText="1"/>
    </xf>
    <xf numFmtId="4" fontId="14" fillId="0" borderId="54" xfId="0" applyNumberFormat="1" applyFont="1" applyBorder="1" applyAlignment="1">
      <alignment horizontal="right" vertical="center" wrapText="1"/>
    </xf>
    <xf numFmtId="4" fontId="15" fillId="0" borderId="55" xfId="9" applyNumberFormat="1" applyFont="1" applyBorder="1" applyAlignment="1">
      <alignment horizontal="right"/>
    </xf>
    <xf numFmtId="0" fontId="50" fillId="0" borderId="0" xfId="9" applyFont="1"/>
    <xf numFmtId="4" fontId="15" fillId="0" borderId="0" xfId="9" applyNumberFormat="1" applyFont="1" applyAlignment="1">
      <alignment horizontal="center"/>
    </xf>
    <xf numFmtId="4" fontId="15" fillId="0" borderId="0" xfId="9" applyNumberFormat="1" applyFont="1" applyAlignment="1">
      <alignment horizontal="right"/>
    </xf>
    <xf numFmtId="0" fontId="52" fillId="0" borderId="0" xfId="9" applyFont="1"/>
    <xf numFmtId="0" fontId="17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17" fillId="0" borderId="0" xfId="1" applyFont="1" applyAlignment="1">
      <alignment horizontal="center"/>
    </xf>
    <xf numFmtId="0" fontId="23" fillId="3" borderId="12" xfId="1" applyFont="1" applyFill="1" applyBorder="1" applyAlignment="1">
      <alignment horizontal="center" vertical="center"/>
    </xf>
    <xf numFmtId="0" fontId="54" fillId="3" borderId="12" xfId="1" applyFont="1" applyFill="1" applyBorder="1" applyAlignment="1">
      <alignment horizontal="center" vertical="center" wrapText="1"/>
    </xf>
    <xf numFmtId="0" fontId="55" fillId="0" borderId="12" xfId="1" applyFont="1" applyBorder="1" applyAlignment="1">
      <alignment horizontal="center" vertical="center"/>
    </xf>
    <xf numFmtId="0" fontId="56" fillId="0" borderId="12" xfId="1" applyFont="1" applyBorder="1" applyAlignment="1">
      <alignment horizontal="center" vertical="center"/>
    </xf>
    <xf numFmtId="0" fontId="55" fillId="0" borderId="0" xfId="1" applyFont="1" applyAlignment="1">
      <alignment vertical="center"/>
    </xf>
    <xf numFmtId="0" fontId="24" fillId="0" borderId="0" xfId="1" applyFont="1" applyAlignment="1">
      <alignment vertical="center"/>
    </xf>
    <xf numFmtId="0" fontId="57" fillId="0" borderId="2" xfId="1" applyFont="1" applyBorder="1" applyAlignment="1">
      <alignment horizontal="center" vertical="center"/>
    </xf>
    <xf numFmtId="4" fontId="54" fillId="0" borderId="2" xfId="1" applyNumberFormat="1" applyFont="1" applyBorder="1" applyAlignment="1">
      <alignment vertical="center"/>
    </xf>
    <xf numFmtId="4" fontId="24" fillId="7" borderId="0" xfId="1" applyNumberFormat="1" applyFont="1" applyFill="1" applyAlignment="1">
      <alignment vertical="center"/>
    </xf>
    <xf numFmtId="4" fontId="24" fillId="8" borderId="0" xfId="1" applyNumberFormat="1" applyFont="1" applyFill="1" applyAlignment="1">
      <alignment vertical="center"/>
    </xf>
    <xf numFmtId="4" fontId="55" fillId="0" borderId="0" xfId="1" applyNumberFormat="1" applyFont="1" applyAlignment="1">
      <alignment vertical="center"/>
    </xf>
    <xf numFmtId="0" fontId="17" fillId="0" borderId="2" xfId="1" applyFont="1" applyBorder="1" applyAlignment="1">
      <alignment horizontal="center" vertical="center"/>
    </xf>
    <xf numFmtId="0" fontId="17" fillId="0" borderId="14" xfId="1" applyFont="1" applyBorder="1" applyAlignment="1">
      <alignment vertical="center" wrapText="1"/>
    </xf>
    <xf numFmtId="0" fontId="57" fillId="0" borderId="13" xfId="1" applyFont="1" applyBorder="1" applyAlignment="1">
      <alignment horizontal="center" vertical="center"/>
    </xf>
    <xf numFmtId="4" fontId="57" fillId="0" borderId="2" xfId="1" applyNumberFormat="1" applyFont="1" applyBorder="1" applyAlignment="1">
      <alignment vertical="center"/>
    </xf>
    <xf numFmtId="4" fontId="58" fillId="0" borderId="0" xfId="1" applyNumberFormat="1" applyFont="1" applyAlignment="1">
      <alignment horizontal="right" vertical="center"/>
    </xf>
    <xf numFmtId="4" fontId="24" fillId="0" borderId="0" xfId="1" applyNumberFormat="1" applyFont="1" applyAlignment="1">
      <alignment vertical="center"/>
    </xf>
    <xf numFmtId="0" fontId="17" fillId="0" borderId="6" xfId="1" applyFont="1" applyBorder="1" applyAlignment="1">
      <alignment horizontal="center" vertical="center"/>
    </xf>
    <xf numFmtId="0" fontId="17" fillId="0" borderId="8" xfId="1" applyFont="1" applyBorder="1" applyAlignment="1">
      <alignment vertical="center"/>
    </xf>
    <xf numFmtId="0" fontId="57" fillId="0" borderId="9" xfId="1" applyFont="1" applyBorder="1" applyAlignment="1">
      <alignment horizontal="center" vertical="center"/>
    </xf>
    <xf numFmtId="4" fontId="57" fillId="0" borderId="6" xfId="1" applyNumberFormat="1" applyFont="1" applyBorder="1" applyAlignment="1">
      <alignment vertical="center"/>
    </xf>
    <xf numFmtId="0" fontId="17" fillId="0" borderId="7" xfId="1" applyFont="1" applyBorder="1" applyAlignment="1">
      <alignment horizontal="center" vertical="center"/>
    </xf>
    <xf numFmtId="0" fontId="17" fillId="0" borderId="11" xfId="1" applyFont="1" applyBorder="1" applyAlignment="1">
      <alignment vertical="center"/>
    </xf>
    <xf numFmtId="0" fontId="57" fillId="0" borderId="10" xfId="1" applyFont="1" applyBorder="1" applyAlignment="1">
      <alignment horizontal="center" vertical="center"/>
    </xf>
    <xf numFmtId="4" fontId="57" fillId="0" borderId="7" xfId="1" applyNumberFormat="1" applyFont="1" applyBorder="1" applyAlignment="1">
      <alignment vertical="center"/>
    </xf>
    <xf numFmtId="0" fontId="17" fillId="0" borderId="6" xfId="1" applyFont="1" applyBorder="1" applyAlignment="1">
      <alignment vertical="center" wrapText="1"/>
    </xf>
    <xf numFmtId="0" fontId="57" fillId="0" borderId="6" xfId="1" applyFont="1" applyBorder="1" applyAlignment="1">
      <alignment horizontal="center" vertical="center"/>
    </xf>
    <xf numFmtId="0" fontId="17" fillId="0" borderId="13" xfId="1" applyFont="1" applyBorder="1" applyAlignment="1">
      <alignment horizontal="center" vertical="center"/>
    </xf>
    <xf numFmtId="0" fontId="17" fillId="0" borderId="13" xfId="1" applyFont="1" applyBorder="1" applyAlignment="1">
      <alignment vertical="center" wrapText="1"/>
    </xf>
    <xf numFmtId="4" fontId="30" fillId="9" borderId="0" xfId="1" applyNumberFormat="1" applyFont="1" applyFill="1" applyAlignment="1">
      <alignment vertical="center"/>
    </xf>
    <xf numFmtId="0" fontId="56" fillId="0" borderId="0" xfId="1" applyFont="1" applyAlignment="1">
      <alignment vertical="center"/>
    </xf>
    <xf numFmtId="0" fontId="17" fillId="0" borderId="9" xfId="1" applyFont="1" applyBorder="1" applyAlignment="1">
      <alignment horizontal="center" vertical="center"/>
    </xf>
    <xf numFmtId="0" fontId="17" fillId="0" borderId="9" xfId="1" quotePrefix="1" applyFont="1" applyBorder="1" applyAlignment="1">
      <alignment vertical="center" wrapText="1"/>
    </xf>
    <xf numFmtId="0" fontId="17" fillId="0" borderId="12" xfId="1" applyFont="1" applyBorder="1" applyAlignment="1">
      <alignment horizontal="center" vertical="center"/>
    </xf>
    <xf numFmtId="0" fontId="17" fillId="0" borderId="12" xfId="1" applyFont="1" applyBorder="1" applyAlignment="1">
      <alignment vertical="center" wrapText="1"/>
    </xf>
    <xf numFmtId="0" fontId="57" fillId="0" borderId="12" xfId="1" applyFont="1" applyBorder="1" applyAlignment="1">
      <alignment horizontal="center" vertical="center"/>
    </xf>
    <xf numFmtId="4" fontId="57" fillId="0" borderId="12" xfId="1" applyNumberFormat="1" applyFont="1" applyBorder="1" applyAlignment="1">
      <alignment vertical="center"/>
    </xf>
    <xf numFmtId="0" fontId="17" fillId="0" borderId="7" xfId="1" applyFont="1" applyBorder="1" applyAlignment="1">
      <alignment vertical="center" wrapText="1"/>
    </xf>
    <xf numFmtId="0" fontId="57" fillId="0" borderId="7" xfId="1" applyFont="1" applyBorder="1" applyAlignment="1">
      <alignment horizontal="center" vertical="center"/>
    </xf>
    <xf numFmtId="0" fontId="17" fillId="0" borderId="7" xfId="1" applyFont="1" applyBorder="1" applyAlignment="1">
      <alignment horizontal="center" vertical="top"/>
    </xf>
    <xf numFmtId="0" fontId="17" fillId="0" borderId="7" xfId="1" applyFont="1" applyBorder="1" applyAlignment="1">
      <alignment vertical="top" wrapText="1"/>
    </xf>
    <xf numFmtId="0" fontId="57" fillId="0" borderId="7" xfId="1" applyFont="1" applyBorder="1" applyAlignment="1">
      <alignment horizontal="center" vertical="top"/>
    </xf>
    <xf numFmtId="0" fontId="17" fillId="0" borderId="12" xfId="1" applyFont="1" applyBorder="1" applyAlignment="1">
      <alignment vertical="center"/>
    </xf>
    <xf numFmtId="4" fontId="30" fillId="10" borderId="0" xfId="1" applyNumberFormat="1" applyFont="1" applyFill="1" applyAlignment="1">
      <alignment vertical="center"/>
    </xf>
    <xf numFmtId="0" fontId="17" fillId="0" borderId="2" xfId="1" applyFont="1" applyBorder="1" applyAlignment="1">
      <alignment vertical="center" wrapText="1"/>
    </xf>
    <xf numFmtId="4" fontId="57" fillId="0" borderId="2" xfId="1" applyNumberFormat="1" applyFont="1" applyBorder="1" applyAlignment="1">
      <alignment horizontal="right" vertical="center"/>
    </xf>
    <xf numFmtId="4" fontId="30" fillId="11" borderId="0" xfId="1" applyNumberFormat="1" applyFont="1" applyFill="1" applyAlignment="1">
      <alignment vertical="center"/>
    </xf>
    <xf numFmtId="0" fontId="17" fillId="0" borderId="6" xfId="1" applyFont="1" applyBorder="1" applyAlignment="1">
      <alignment vertical="center"/>
    </xf>
    <xf numFmtId="0" fontId="17" fillId="0" borderId="7" xfId="1" applyFont="1" applyBorder="1" applyAlignment="1">
      <alignment vertical="center"/>
    </xf>
    <xf numFmtId="4" fontId="57" fillId="0" borderId="7" xfId="1" applyNumberFormat="1" applyFont="1" applyBorder="1" applyAlignment="1">
      <alignment horizontal="right" vertical="center"/>
    </xf>
    <xf numFmtId="4" fontId="59" fillId="0" borderId="2" xfId="1" applyNumberFormat="1" applyFont="1" applyBorder="1" applyAlignment="1">
      <alignment vertical="center"/>
    </xf>
    <xf numFmtId="4" fontId="30" fillId="0" borderId="0" xfId="1" applyNumberFormat="1" applyFont="1" applyAlignment="1">
      <alignment vertical="center"/>
    </xf>
    <xf numFmtId="0" fontId="35" fillId="0" borderId="0" xfId="1" applyFont="1" applyAlignment="1">
      <alignment vertical="center"/>
    </xf>
    <xf numFmtId="4" fontId="59" fillId="0" borderId="6" xfId="1" applyNumberFormat="1" applyFont="1" applyBorder="1" applyAlignment="1">
      <alignment vertical="center"/>
    </xf>
    <xf numFmtId="4" fontId="59" fillId="0" borderId="7" xfId="1" applyNumberFormat="1" applyFont="1" applyBorder="1" applyAlignment="1">
      <alignment vertical="center"/>
    </xf>
    <xf numFmtId="4" fontId="4" fillId="0" borderId="0" xfId="1" applyNumberFormat="1" applyAlignment="1">
      <alignment vertical="center"/>
    </xf>
    <xf numFmtId="4" fontId="54" fillId="0" borderId="6" xfId="1" applyNumberFormat="1" applyFont="1" applyBorder="1" applyAlignment="1">
      <alignment vertical="center"/>
    </xf>
    <xf numFmtId="0" fontId="17" fillId="0" borderId="2" xfId="1" applyFont="1" applyBorder="1" applyAlignment="1">
      <alignment vertical="center"/>
    </xf>
    <xf numFmtId="0" fontId="4" fillId="0" borderId="0" xfId="1" applyAlignment="1">
      <alignment horizontal="center" vertical="center"/>
    </xf>
    <xf numFmtId="3" fontId="5" fillId="0" borderId="0" xfId="1" applyNumberFormat="1" applyFont="1" applyAlignment="1">
      <alignment vertical="center"/>
    </xf>
    <xf numFmtId="0" fontId="61" fillId="0" borderId="0" xfId="11" applyFont="1" applyAlignment="1">
      <alignment vertical="center"/>
    </xf>
    <xf numFmtId="0" fontId="7" fillId="0" borderId="0" xfId="11" applyFont="1"/>
    <xf numFmtId="0" fontId="8" fillId="0" borderId="0" xfId="11" applyFont="1"/>
    <xf numFmtId="0" fontId="61" fillId="0" borderId="0" xfId="11" applyFont="1"/>
    <xf numFmtId="0" fontId="6" fillId="0" borderId="0" xfId="11" applyFont="1" applyAlignment="1">
      <alignment horizontal="centerContinuous" vertical="center" wrapText="1"/>
    </xf>
    <xf numFmtId="0" fontId="6" fillId="0" borderId="0" xfId="11" applyFont="1" applyAlignment="1">
      <alignment horizontal="center" vertical="center" wrapText="1"/>
    </xf>
    <xf numFmtId="0" fontId="61" fillId="0" borderId="0" xfId="11" applyFont="1" applyAlignment="1">
      <alignment horizontal="center" vertical="center"/>
    </xf>
    <xf numFmtId="0" fontId="6" fillId="3" borderId="2" xfId="11" applyFont="1" applyFill="1" applyBorder="1" applyAlignment="1">
      <alignment horizontal="center" vertical="center"/>
    </xf>
    <xf numFmtId="0" fontId="6" fillId="3" borderId="2" xfId="11" applyFont="1" applyFill="1" applyBorder="1" applyAlignment="1">
      <alignment horizontal="center" vertical="center" wrapText="1"/>
    </xf>
    <xf numFmtId="0" fontId="6" fillId="3" borderId="3" xfId="11" applyFont="1" applyFill="1" applyBorder="1" applyAlignment="1">
      <alignment horizontal="centerContinuous" vertical="center" wrapText="1"/>
    </xf>
    <xf numFmtId="0" fontId="6" fillId="3" borderId="4" xfId="11" applyFont="1" applyFill="1" applyBorder="1" applyAlignment="1">
      <alignment horizontal="centerContinuous" vertical="center" wrapText="1"/>
    </xf>
    <xf numFmtId="0" fontId="6" fillId="3" borderId="5" xfId="11" applyFont="1" applyFill="1" applyBorder="1" applyAlignment="1">
      <alignment horizontal="centerContinuous" vertical="center" wrapText="1"/>
    </xf>
    <xf numFmtId="0" fontId="6" fillId="3" borderId="6" xfId="11" applyFont="1" applyFill="1" applyBorder="1" applyAlignment="1">
      <alignment horizontal="center" vertical="center"/>
    </xf>
    <xf numFmtId="0" fontId="6" fillId="3" borderId="6" xfId="11" applyFont="1" applyFill="1" applyBorder="1" applyAlignment="1">
      <alignment horizontal="center" vertical="center" wrapText="1"/>
    </xf>
    <xf numFmtId="0" fontId="6" fillId="3" borderId="7" xfId="11" applyFont="1" applyFill="1" applyBorder="1" applyAlignment="1">
      <alignment horizontal="center" vertical="center"/>
    </xf>
    <xf numFmtId="0" fontId="6" fillId="3" borderId="7" xfId="11" applyFont="1" applyFill="1" applyBorder="1" applyAlignment="1">
      <alignment horizontal="center" vertical="center" wrapText="1"/>
    </xf>
    <xf numFmtId="0" fontId="6" fillId="3" borderId="7" xfId="11" applyFont="1" applyFill="1" applyBorder="1" applyAlignment="1">
      <alignment horizontal="center" vertical="top" wrapText="1"/>
    </xf>
    <xf numFmtId="0" fontId="16" fillId="3" borderId="12" xfId="11" applyFont="1" applyFill="1" applyBorder="1" applyAlignment="1">
      <alignment horizontal="center" vertical="center" wrapText="1"/>
    </xf>
    <xf numFmtId="0" fontId="9" fillId="0" borderId="12" xfId="11" applyFont="1" applyBorder="1" applyAlignment="1">
      <alignment horizontal="center" vertical="center"/>
    </xf>
    <xf numFmtId="0" fontId="62" fillId="0" borderId="0" xfId="11" applyFont="1"/>
    <xf numFmtId="0" fontId="62" fillId="0" borderId="0" xfId="11" applyFont="1" applyAlignment="1">
      <alignment vertical="center"/>
    </xf>
    <xf numFmtId="0" fontId="61" fillId="0" borderId="12" xfId="11" applyFont="1" applyBorder="1" applyAlignment="1">
      <alignment vertical="center"/>
    </xf>
    <xf numFmtId="4" fontId="61" fillId="0" borderId="12" xfId="11" applyNumberFormat="1" applyFont="1" applyBorder="1" applyAlignment="1">
      <alignment vertical="center"/>
    </xf>
    <xf numFmtId="0" fontId="61" fillId="0" borderId="11" xfId="11" applyFont="1" applyBorder="1" applyAlignment="1">
      <alignment vertical="center"/>
    </xf>
    <xf numFmtId="4" fontId="61" fillId="0" borderId="7" xfId="11" applyNumberFormat="1" applyFont="1" applyBorder="1" applyAlignment="1">
      <alignment vertical="center"/>
    </xf>
    <xf numFmtId="0" fontId="63" fillId="0" borderId="0" xfId="11" applyFont="1" applyAlignment="1">
      <alignment vertical="center"/>
    </xf>
    <xf numFmtId="0" fontId="60" fillId="0" borderId="0" xfId="11" applyAlignment="1">
      <alignment vertical="center"/>
    </xf>
    <xf numFmtId="0" fontId="8" fillId="0" borderId="0" xfId="11" applyFont="1" applyAlignment="1">
      <alignment horizontal="left"/>
    </xf>
    <xf numFmtId="0" fontId="60" fillId="0" borderId="0" xfId="11"/>
    <xf numFmtId="0" fontId="22" fillId="0" borderId="0" xfId="11" applyFont="1" applyAlignment="1">
      <alignment horizontal="centerContinuous" vertical="center"/>
    </xf>
    <xf numFmtId="0" fontId="64" fillId="0" borderId="0" xfId="11" applyFont="1" applyAlignment="1">
      <alignment horizontal="centerContinuous" vertical="center" wrapText="1"/>
    </xf>
    <xf numFmtId="0" fontId="22" fillId="0" borderId="0" xfId="11" applyFont="1" applyAlignment="1">
      <alignment horizontal="left" vertical="center"/>
    </xf>
    <xf numFmtId="0" fontId="64" fillId="0" borderId="0" xfId="11" applyFont="1" applyAlignment="1">
      <alignment horizontal="left" vertical="center" wrapText="1"/>
    </xf>
    <xf numFmtId="0" fontId="15" fillId="0" borderId="0" xfId="11" applyFont="1" applyAlignment="1">
      <alignment horizontal="center" vertical="center"/>
    </xf>
    <xf numFmtId="0" fontId="6" fillId="3" borderId="2" xfId="11" applyFont="1" applyFill="1" applyBorder="1" applyAlignment="1">
      <alignment horizontal="center" vertical="top" wrapText="1"/>
    </xf>
    <xf numFmtId="0" fontId="6" fillId="3" borderId="3" xfId="11" applyFont="1" applyFill="1" applyBorder="1" applyAlignment="1">
      <alignment horizontal="center" vertical="center" wrapText="1"/>
    </xf>
    <xf numFmtId="0" fontId="6" fillId="3" borderId="4" xfId="11" applyFont="1" applyFill="1" applyBorder="1" applyAlignment="1">
      <alignment horizontal="center" vertical="center" wrapText="1"/>
    </xf>
    <xf numFmtId="0" fontId="6" fillId="3" borderId="4" xfId="11" applyFont="1" applyFill="1" applyBorder="1" applyAlignment="1">
      <alignment horizontal="left" vertical="center" wrapText="1"/>
    </xf>
    <xf numFmtId="0" fontId="6" fillId="3" borderId="5" xfId="11" applyFont="1" applyFill="1" applyBorder="1" applyAlignment="1">
      <alignment horizontal="center" vertical="center" wrapText="1"/>
    </xf>
    <xf numFmtId="0" fontId="6" fillId="3" borderId="12" xfId="11" applyFont="1" applyFill="1" applyBorder="1" applyAlignment="1">
      <alignment horizontal="center" vertical="center" wrapText="1"/>
    </xf>
    <xf numFmtId="0" fontId="6" fillId="3" borderId="7" xfId="11" applyFont="1" applyFill="1" applyBorder="1" applyAlignment="1">
      <alignment horizontal="center" vertical="top"/>
    </xf>
    <xf numFmtId="0" fontId="61" fillId="0" borderId="52" xfId="11" applyFont="1" applyBorder="1" applyAlignment="1">
      <alignment vertical="center"/>
    </xf>
    <xf numFmtId="4" fontId="61" fillId="0" borderId="51" xfId="11" applyNumberFormat="1" applyFont="1" applyBorder="1" applyAlignment="1">
      <alignment vertical="center"/>
    </xf>
    <xf numFmtId="0" fontId="61" fillId="0" borderId="51" xfId="11" applyFont="1" applyBorder="1" applyAlignment="1">
      <alignment vertical="center"/>
    </xf>
    <xf numFmtId="4" fontId="61" fillId="0" borderId="52" xfId="11" applyNumberFormat="1" applyFont="1" applyBorder="1" applyAlignment="1">
      <alignment vertical="center"/>
    </xf>
    <xf numFmtId="0" fontId="6" fillId="0" borderId="3" xfId="11" applyFont="1" applyBorder="1" applyAlignment="1">
      <alignment horizontal="centerContinuous" vertical="center"/>
    </xf>
    <xf numFmtId="4" fontId="6" fillId="0" borderId="12" xfId="11" applyNumberFormat="1" applyFont="1" applyBorder="1" applyAlignment="1">
      <alignment vertical="center"/>
    </xf>
    <xf numFmtId="0" fontId="65" fillId="0" borderId="0" xfId="11" applyFont="1" applyAlignment="1">
      <alignment vertical="center"/>
    </xf>
    <xf numFmtId="0" fontId="66" fillId="0" borderId="0" xfId="1" applyFont="1" applyAlignment="1">
      <alignment horizontal="centerContinuous"/>
    </xf>
    <xf numFmtId="0" fontId="8" fillId="0" borderId="0" xfId="1" applyFont="1" applyAlignment="1">
      <alignment horizontal="centerContinuous"/>
    </xf>
    <xf numFmtId="0" fontId="55" fillId="0" borderId="12" xfId="1" applyFont="1" applyBorder="1" applyAlignment="1">
      <alignment horizontal="center"/>
    </xf>
    <xf numFmtId="0" fontId="55" fillId="0" borderId="0" xfId="1" applyFont="1"/>
    <xf numFmtId="0" fontId="17" fillId="0" borderId="16" xfId="1" applyFont="1" applyBorder="1" applyAlignment="1">
      <alignment horizontal="center"/>
    </xf>
    <xf numFmtId="49" fontId="17" fillId="0" borderId="16" xfId="1" applyNumberFormat="1" applyFont="1" applyBorder="1" applyAlignment="1">
      <alignment horizontal="right"/>
    </xf>
    <xf numFmtId="0" fontId="22" fillId="0" borderId="0" xfId="1" applyFont="1"/>
    <xf numFmtId="0" fontId="17" fillId="0" borderId="7" xfId="1" applyFont="1" applyBorder="1" applyAlignment="1">
      <alignment horizontal="center"/>
    </xf>
    <xf numFmtId="0" fontId="17" fillId="0" borderId="7" xfId="1" applyFont="1" applyBorder="1" applyAlignment="1">
      <alignment horizontal="right"/>
    </xf>
    <xf numFmtId="37" fontId="8" fillId="0" borderId="0" xfId="1" applyNumberFormat="1" applyFont="1"/>
    <xf numFmtId="0" fontId="12" fillId="0" borderId="0" xfId="1" applyFont="1" applyAlignment="1">
      <alignment horizontal="center"/>
    </xf>
    <xf numFmtId="37" fontId="12" fillId="0" borderId="0" xfId="1" applyNumberFormat="1" applyFont="1"/>
    <xf numFmtId="0" fontId="61" fillId="0" borderId="0" xfId="12" applyFont="1"/>
    <xf numFmtId="0" fontId="61" fillId="0" borderId="0" xfId="12" applyFont="1" applyAlignment="1">
      <alignment horizontal="center" vertical="top"/>
    </xf>
    <xf numFmtId="0" fontId="8" fillId="0" borderId="0" xfId="12" applyFont="1" applyAlignment="1">
      <alignment horizontal="left"/>
    </xf>
    <xf numFmtId="0" fontId="7" fillId="0" borderId="0" xfId="12" applyFont="1" applyAlignment="1">
      <alignment horizontal="left"/>
    </xf>
    <xf numFmtId="0" fontId="8" fillId="0" borderId="0" xfId="12" applyFont="1"/>
    <xf numFmtId="0" fontId="6" fillId="0" borderId="0" xfId="12" applyFont="1" applyAlignment="1">
      <alignment horizontal="center" vertical="center"/>
    </xf>
    <xf numFmtId="0" fontId="61" fillId="0" borderId="0" xfId="12" applyFont="1" applyAlignment="1">
      <alignment vertical="center"/>
    </xf>
    <xf numFmtId="0" fontId="9" fillId="0" borderId="0" xfId="12" applyFont="1" applyAlignment="1">
      <alignment horizontal="right"/>
    </xf>
    <xf numFmtId="0" fontId="61" fillId="0" borderId="0" xfId="12" applyFont="1" applyAlignment="1">
      <alignment horizontal="center"/>
    </xf>
    <xf numFmtId="0" fontId="6" fillId="0" borderId="12" xfId="12" applyFont="1" applyBorder="1" applyAlignment="1">
      <alignment horizontal="center" vertical="center"/>
    </xf>
    <xf numFmtId="0" fontId="6" fillId="3" borderId="12" xfId="12" applyFont="1" applyFill="1" applyBorder="1" applyAlignment="1">
      <alignment horizontal="center" vertical="center"/>
    </xf>
    <xf numFmtId="0" fontId="9" fillId="0" borderId="12" xfId="12" applyFont="1" applyBorder="1" applyAlignment="1">
      <alignment horizontal="center" vertical="center"/>
    </xf>
    <xf numFmtId="0" fontId="9" fillId="0" borderId="12" xfId="12" applyFont="1" applyBorder="1" applyAlignment="1">
      <alignment horizontal="center" vertical="top"/>
    </xf>
    <xf numFmtId="0" fontId="9" fillId="0" borderId="0" xfId="12" applyFont="1"/>
    <xf numFmtId="0" fontId="23" fillId="0" borderId="3" xfId="12" applyFont="1" applyBorder="1" applyAlignment="1">
      <alignment horizontal="left" vertical="center"/>
    </xf>
    <xf numFmtId="0" fontId="23" fillId="0" borderId="4" xfId="12" applyFont="1" applyBorder="1" applyAlignment="1">
      <alignment horizontal="left" vertical="center"/>
    </xf>
    <xf numFmtId="0" fontId="23" fillId="0" borderId="4" xfId="12" applyFont="1" applyBorder="1" applyAlignment="1">
      <alignment horizontal="center" vertical="top"/>
    </xf>
    <xf numFmtId="0" fontId="23" fillId="0" borderId="5" xfId="12" applyFont="1" applyBorder="1" applyAlignment="1">
      <alignment horizontal="left" vertical="center"/>
    </xf>
    <xf numFmtId="0" fontId="5" fillId="0" borderId="12" xfId="12" applyFont="1" applyBorder="1" applyAlignment="1">
      <alignment horizontal="center" vertical="center"/>
    </xf>
    <xf numFmtId="0" fontId="7" fillId="0" borderId="12" xfId="12" applyFont="1" applyBorder="1" applyAlignment="1">
      <alignment vertical="center" wrapText="1"/>
    </xf>
    <xf numFmtId="4" fontId="7" fillId="0" borderId="12" xfId="12" applyNumberFormat="1" applyFont="1" applyBorder="1" applyAlignment="1">
      <alignment vertical="center"/>
    </xf>
    <xf numFmtId="4" fontId="61" fillId="0" borderId="0" xfId="12" applyNumberFormat="1" applyFont="1"/>
    <xf numFmtId="0" fontId="5" fillId="0" borderId="2" xfId="12" applyFont="1" applyBorder="1" applyAlignment="1">
      <alignment horizontal="center" vertical="center"/>
    </xf>
    <xf numFmtId="0" fontId="7" fillId="0" borderId="2" xfId="12" applyFont="1" applyBorder="1" applyAlignment="1">
      <alignment horizontal="center" vertical="center"/>
    </xf>
    <xf numFmtId="0" fontId="67" fillId="0" borderId="0" xfId="12" applyFont="1"/>
    <xf numFmtId="0" fontId="7" fillId="0" borderId="12" xfId="12" applyFont="1" applyBorder="1" applyAlignment="1">
      <alignment horizontal="center" vertical="center"/>
    </xf>
    <xf numFmtId="0" fontId="7" fillId="0" borderId="12" xfId="12" applyFont="1" applyBorder="1" applyAlignment="1">
      <alignment vertical="center"/>
    </xf>
    <xf numFmtId="0" fontId="17" fillId="0" borderId="3" xfId="12" applyFont="1" applyBorder="1" applyAlignment="1">
      <alignment horizontal="center" vertical="center"/>
    </xf>
    <xf numFmtId="0" fontId="8" fillId="4" borderId="4" xfId="11" applyFont="1" applyFill="1" applyBorder="1" applyAlignment="1">
      <alignment vertical="center"/>
    </xf>
    <xf numFmtId="0" fontId="8" fillId="4" borderId="4" xfId="11" applyFont="1" applyFill="1" applyBorder="1" applyAlignment="1">
      <alignment horizontal="center" vertical="center"/>
    </xf>
    <xf numFmtId="0" fontId="15" fillId="4" borderId="4" xfId="8" applyFont="1" applyFill="1" applyBorder="1" applyAlignment="1">
      <alignment horizontal="center" vertical="center"/>
    </xf>
    <xf numFmtId="0" fontId="8" fillId="0" borderId="11" xfId="12" applyFont="1" applyBorder="1" applyAlignment="1">
      <alignment vertical="center"/>
    </xf>
    <xf numFmtId="4" fontId="8" fillId="0" borderId="12" xfId="12" applyNumberFormat="1" applyFont="1" applyBorder="1" applyAlignment="1">
      <alignment vertical="center"/>
    </xf>
    <xf numFmtId="0" fontId="15" fillId="0" borderId="0" xfId="12" applyFont="1"/>
    <xf numFmtId="0" fontId="7" fillId="0" borderId="12" xfId="12" applyFont="1" applyBorder="1" applyAlignment="1">
      <alignment horizontal="left" vertical="center"/>
    </xf>
    <xf numFmtId="4" fontId="7" fillId="0" borderId="12" xfId="12" applyNumberFormat="1" applyFont="1" applyBorder="1" applyAlignment="1">
      <alignment horizontal="right" vertical="center"/>
    </xf>
    <xf numFmtId="0" fontId="17" fillId="0" borderId="10" xfId="12" applyFont="1" applyBorder="1" applyAlignment="1">
      <alignment horizontal="center"/>
    </xf>
    <xf numFmtId="0" fontId="8" fillId="0" borderId="1" xfId="12" applyFont="1" applyBorder="1" applyAlignment="1">
      <alignment horizontal="center"/>
    </xf>
    <xf numFmtId="0" fontId="8" fillId="0" borderId="4" xfId="12" applyFont="1" applyBorder="1" applyAlignment="1">
      <alignment horizontal="center"/>
    </xf>
    <xf numFmtId="0" fontId="8" fillId="0" borderId="5" xfId="12" applyFont="1" applyBorder="1" applyAlignment="1">
      <alignment horizontal="center" vertical="top"/>
    </xf>
    <xf numFmtId="0" fontId="8" fillId="0" borderId="12" xfId="12" applyFont="1" applyBorder="1" applyAlignment="1">
      <alignment wrapText="1"/>
    </xf>
    <xf numFmtId="4" fontId="8" fillId="0" borderId="11" xfId="12" applyNumberFormat="1" applyFont="1" applyBorder="1" applyAlignment="1">
      <alignment horizontal="right" vertical="center"/>
    </xf>
    <xf numFmtId="0" fontId="8" fillId="0" borderId="1" xfId="12" applyFont="1" applyBorder="1" applyAlignment="1">
      <alignment horizontal="center" vertical="top"/>
    </xf>
    <xf numFmtId="0" fontId="8" fillId="0" borderId="12" xfId="12" applyFont="1" applyBorder="1"/>
    <xf numFmtId="4" fontId="8" fillId="0" borderId="11" xfId="12" applyNumberFormat="1" applyFont="1" applyBorder="1" applyAlignment="1">
      <alignment vertical="center"/>
    </xf>
    <xf numFmtId="0" fontId="8" fillId="0" borderId="12" xfId="12" applyFont="1" applyBorder="1" applyAlignment="1">
      <alignment vertical="center"/>
    </xf>
    <xf numFmtId="0" fontId="69" fillId="0" borderId="0" xfId="12" applyFont="1"/>
    <xf numFmtId="0" fontId="8" fillId="0" borderId="5" xfId="12" applyFont="1" applyBorder="1"/>
    <xf numFmtId="4" fontId="8" fillId="0" borderId="11" xfId="12" applyNumberFormat="1" applyFont="1" applyBorder="1"/>
    <xf numFmtId="4" fontId="7" fillId="0" borderId="5" xfId="12" applyNumberFormat="1" applyFont="1" applyBorder="1" applyAlignment="1">
      <alignment vertical="center"/>
    </xf>
    <xf numFmtId="0" fontId="8" fillId="0" borderId="5" xfId="12" applyFont="1" applyBorder="1" applyAlignment="1">
      <alignment horizontal="center"/>
    </xf>
    <xf numFmtId="0" fontId="8" fillId="0" borderId="11" xfId="12" applyFont="1" applyBorder="1"/>
    <xf numFmtId="0" fontId="17" fillId="0" borderId="3" xfId="12" applyFont="1" applyBorder="1" applyAlignment="1">
      <alignment horizontal="center"/>
    </xf>
    <xf numFmtId="4" fontId="8" fillId="0" borderId="5" xfId="12" applyNumberFormat="1" applyFont="1" applyBorder="1"/>
    <xf numFmtId="0" fontId="8" fillId="0" borderId="1" xfId="12" applyFont="1" applyBorder="1"/>
    <xf numFmtId="0" fontId="68" fillId="0" borderId="0" xfId="12" applyFont="1" applyAlignment="1">
      <alignment vertical="center"/>
    </xf>
    <xf numFmtId="0" fontId="62" fillId="0" borderId="0" xfId="12" applyFont="1"/>
    <xf numFmtId="0" fontId="61" fillId="0" borderId="0" xfId="0" applyFont="1"/>
    <xf numFmtId="0" fontId="61" fillId="0" borderId="0" xfId="0" applyFont="1" applyAlignment="1">
      <alignment horizontal="center"/>
    </xf>
    <xf numFmtId="0" fontId="7" fillId="0" borderId="0" xfId="0" applyFont="1"/>
    <xf numFmtId="0" fontId="15" fillId="0" borderId="0" xfId="0" applyFont="1"/>
    <xf numFmtId="0" fontId="7" fillId="0" borderId="0" xfId="0" applyFont="1" applyAlignment="1">
      <alignment horizontal="left"/>
    </xf>
    <xf numFmtId="0" fontId="6" fillId="0" borderId="0" xfId="0" applyFont="1" applyAlignment="1">
      <alignment horizontal="centerContinuous" vertical="center" wrapText="1"/>
    </xf>
    <xf numFmtId="0" fontId="72" fillId="0" borderId="0" xfId="0" applyFont="1" applyAlignment="1">
      <alignment horizontal="centerContinuous" wrapText="1"/>
    </xf>
    <xf numFmtId="0" fontId="6" fillId="0" borderId="0" xfId="0" applyFont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6" fillId="4" borderId="12" xfId="0" applyFont="1" applyFill="1" applyBorder="1" applyAlignment="1">
      <alignment horizontal="center" vertical="center"/>
    </xf>
    <xf numFmtId="0" fontId="61" fillId="4" borderId="3" xfId="8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Continuous" vertical="center"/>
    </xf>
    <xf numFmtId="0" fontId="73" fillId="4" borderId="12" xfId="0" applyFont="1" applyFill="1" applyBorder="1" applyAlignment="1">
      <alignment horizontal="center" vertical="center"/>
    </xf>
    <xf numFmtId="0" fontId="49" fillId="4" borderId="3" xfId="8" applyFont="1" applyFill="1" applyBorder="1" applyAlignment="1">
      <alignment horizontal="center" vertical="top"/>
    </xf>
    <xf numFmtId="0" fontId="73" fillId="4" borderId="3" xfId="0" applyFont="1" applyFill="1" applyBorder="1" applyAlignment="1">
      <alignment horizontal="centerContinuous" vertical="center"/>
    </xf>
    <xf numFmtId="0" fontId="73" fillId="0" borderId="0" xfId="0" applyFont="1"/>
    <xf numFmtId="0" fontId="70" fillId="0" borderId="3" xfId="0" applyFont="1" applyBorder="1" applyAlignment="1">
      <alignment horizontal="left" vertical="center"/>
    </xf>
    <xf numFmtId="0" fontId="70" fillId="0" borderId="4" xfId="0" applyFont="1" applyBorder="1" applyAlignment="1">
      <alignment horizontal="left" vertical="center"/>
    </xf>
    <xf numFmtId="0" fontId="61" fillId="0" borderId="4" xfId="8" applyFont="1" applyFill="1" applyBorder="1" applyAlignment="1">
      <alignment horizontal="center" vertical="top"/>
    </xf>
    <xf numFmtId="0" fontId="70" fillId="0" borderId="5" xfId="0" applyFont="1" applyBorder="1" applyAlignment="1">
      <alignment horizontal="left" vertical="center"/>
    </xf>
    <xf numFmtId="0" fontId="7" fillId="0" borderId="12" xfId="0" applyFont="1" applyBorder="1" applyAlignment="1">
      <alignment vertical="center"/>
    </xf>
    <xf numFmtId="0" fontId="5" fillId="0" borderId="12" xfId="12" applyFont="1" applyBorder="1" applyAlignment="1">
      <alignment horizontal="right" vertical="center"/>
    </xf>
    <xf numFmtId="0" fontId="7" fillId="4" borderId="12" xfId="0" applyFont="1" applyFill="1" applyBorder="1" applyAlignment="1">
      <alignment vertical="center"/>
    </xf>
    <xf numFmtId="0" fontId="61" fillId="0" borderId="10" xfId="8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vertical="center" wrapText="1"/>
    </xf>
    <xf numFmtId="4" fontId="7" fillId="0" borderId="7" xfId="0" applyNumberFormat="1" applyFont="1" applyBorder="1" applyAlignment="1">
      <alignment vertical="center"/>
    </xf>
    <xf numFmtId="0" fontId="61" fillId="4" borderId="12" xfId="8" applyFont="1" applyFill="1" applyBorder="1" applyAlignment="1">
      <alignment horizontal="center" vertical="center"/>
    </xf>
    <xf numFmtId="0" fontId="5" fillId="4" borderId="12" xfId="0" applyFont="1" applyFill="1" applyBorder="1" applyAlignment="1">
      <alignment horizontal="left" vertical="center" wrapText="1"/>
    </xf>
    <xf numFmtId="4" fontId="7" fillId="0" borderId="12" xfId="0" applyNumberFormat="1" applyFont="1" applyBorder="1" applyAlignment="1">
      <alignment vertical="center"/>
    </xf>
    <xf numFmtId="0" fontId="67" fillId="0" borderId="0" xfId="0" applyFont="1"/>
    <xf numFmtId="0" fontId="7" fillId="4" borderId="3" xfId="0" applyFont="1" applyFill="1" applyBorder="1" applyAlignment="1">
      <alignment vertical="top" wrapText="1"/>
    </xf>
    <xf numFmtId="4" fontId="61" fillId="0" borderId="0" xfId="0" applyNumberFormat="1" applyFont="1"/>
    <xf numFmtId="0" fontId="7" fillId="4" borderId="3" xfId="0" applyFont="1" applyFill="1" applyBorder="1" applyAlignment="1">
      <alignment vertical="center" wrapText="1"/>
    </xf>
    <xf numFmtId="4" fontId="7" fillId="0" borderId="7" xfId="0" applyNumberFormat="1" applyFont="1" applyBorder="1"/>
    <xf numFmtId="0" fontId="61" fillId="4" borderId="10" xfId="8" applyFont="1" applyFill="1" applyBorder="1" applyAlignment="1">
      <alignment horizontal="center" vertical="center" wrapText="1"/>
    </xf>
    <xf numFmtId="0" fontId="61" fillId="4" borderId="10" xfId="8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vertical="center"/>
    </xf>
    <xf numFmtId="0" fontId="7" fillId="4" borderId="2" xfId="0" applyFont="1" applyFill="1" applyBorder="1" applyAlignment="1">
      <alignment vertical="center"/>
    </xf>
    <xf numFmtId="0" fontId="7" fillId="4" borderId="14" xfId="0" applyFont="1" applyFill="1" applyBorder="1" applyAlignment="1">
      <alignment vertical="center"/>
    </xf>
    <xf numFmtId="0" fontId="61" fillId="4" borderId="26" xfId="8" applyFont="1" applyFill="1" applyBorder="1" applyAlignment="1">
      <alignment horizontal="center" vertical="center"/>
    </xf>
    <xf numFmtId="0" fontId="7" fillId="0" borderId="3" xfId="0" applyFont="1" applyBorder="1" applyAlignment="1">
      <alignment vertical="top" wrapText="1"/>
    </xf>
    <xf numFmtId="0" fontId="61" fillId="0" borderId="3" xfId="8" applyFont="1" applyFill="1" applyBorder="1" applyAlignment="1">
      <alignment horizontal="center" vertical="center"/>
    </xf>
    <xf numFmtId="0" fontId="7" fillId="0" borderId="3" xfId="0" applyFont="1" applyBorder="1" applyAlignment="1">
      <alignment vertical="center" wrapText="1"/>
    </xf>
    <xf numFmtId="0" fontId="7" fillId="4" borderId="2" xfId="0" applyFont="1" applyFill="1" applyBorder="1" applyAlignment="1">
      <alignment horizontal="right" vertical="center"/>
    </xf>
    <xf numFmtId="0" fontId="7" fillId="4" borderId="14" xfId="0" applyFont="1" applyFill="1" applyBorder="1" applyAlignment="1">
      <alignment horizontal="right" vertical="center"/>
    </xf>
    <xf numFmtId="0" fontId="7" fillId="4" borderId="3" xfId="0" applyFont="1" applyFill="1" applyBorder="1" applyAlignment="1">
      <alignment wrapText="1"/>
    </xf>
    <xf numFmtId="49" fontId="8" fillId="4" borderId="2" xfId="0" applyNumberFormat="1" applyFont="1" applyFill="1" applyBorder="1" applyAlignment="1">
      <alignment horizontal="right"/>
    </xf>
    <xf numFmtId="0" fontId="8" fillId="4" borderId="2" xfId="0" applyFont="1" applyFill="1" applyBorder="1" applyAlignment="1">
      <alignment horizontal="right" vertical="top"/>
    </xf>
    <xf numFmtId="0" fontId="8" fillId="4" borderId="14" xfId="0" applyFont="1" applyFill="1" applyBorder="1" applyAlignment="1">
      <alignment horizontal="right" vertical="top"/>
    </xf>
    <xf numFmtId="0" fontId="15" fillId="4" borderId="26" xfId="8" applyFont="1" applyFill="1" applyBorder="1" applyAlignment="1">
      <alignment horizontal="center" vertical="top"/>
    </xf>
    <xf numFmtId="0" fontId="8" fillId="4" borderId="3" xfId="0" applyFont="1" applyFill="1" applyBorder="1" applyAlignment="1">
      <alignment wrapText="1"/>
    </xf>
    <xf numFmtId="4" fontId="8" fillId="0" borderId="12" xfId="0" applyNumberFormat="1" applyFont="1" applyBorder="1" applyAlignment="1">
      <alignment vertical="center"/>
    </xf>
    <xf numFmtId="0" fontId="61" fillId="4" borderId="3" xfId="8" applyFont="1" applyFill="1" applyBorder="1" applyAlignment="1">
      <alignment horizontal="center" vertical="top" wrapText="1"/>
    </xf>
    <xf numFmtId="0" fontId="7" fillId="4" borderId="12" xfId="0" quotePrefix="1" applyFont="1" applyFill="1" applyBorder="1" applyAlignment="1">
      <alignment horizontal="right" vertical="center"/>
    </xf>
    <xf numFmtId="0" fontId="7" fillId="0" borderId="3" xfId="0" quotePrefix="1" applyFont="1" applyBorder="1" applyAlignment="1">
      <alignment vertical="top" wrapText="1"/>
    </xf>
    <xf numFmtId="4" fontId="7" fillId="0" borderId="12" xfId="0" applyNumberFormat="1" applyFont="1" applyBorder="1" applyAlignment="1">
      <alignment horizontal="right" vertical="center"/>
    </xf>
    <xf numFmtId="0" fontId="74" fillId="0" borderId="0" xfId="0" applyFont="1" applyAlignment="1">
      <alignment horizontal="center" vertical="center"/>
    </xf>
    <xf numFmtId="0" fontId="7" fillId="4" borderId="3" xfId="0" applyFont="1" applyFill="1" applyBorder="1" applyAlignment="1">
      <alignment vertical="center"/>
    </xf>
    <xf numFmtId="0" fontId="61" fillId="4" borderId="3" xfId="8" applyFont="1" applyFill="1" applyBorder="1" applyAlignment="1">
      <alignment horizontal="center" vertical="center" wrapText="1"/>
    </xf>
    <xf numFmtId="0" fontId="7" fillId="4" borderId="12" xfId="0" applyFont="1" applyFill="1" applyBorder="1" applyAlignment="1">
      <alignment vertical="top"/>
    </xf>
    <xf numFmtId="0" fontId="68" fillId="0" borderId="3" xfId="0" applyFont="1" applyBorder="1" applyAlignment="1">
      <alignment horizontal="center" vertical="center"/>
    </xf>
    <xf numFmtId="0" fontId="68" fillId="0" borderId="4" xfId="0" applyFont="1" applyBorder="1" applyAlignment="1">
      <alignment horizontal="center" vertical="center"/>
    </xf>
    <xf numFmtId="0" fontId="61" fillId="0" borderId="4" xfId="8" applyFont="1" applyFill="1" applyBorder="1" applyAlignment="1">
      <alignment horizontal="center" vertical="center"/>
    </xf>
    <xf numFmtId="4" fontId="68" fillId="0" borderId="12" xfId="0" applyNumberFormat="1" applyFont="1" applyBorder="1" applyAlignment="1">
      <alignment vertical="center"/>
    </xf>
    <xf numFmtId="0" fontId="61" fillId="0" borderId="0" xfId="0" applyFont="1" applyAlignment="1">
      <alignment vertical="center"/>
    </xf>
    <xf numFmtId="4" fontId="61" fillId="0" borderId="0" xfId="0" applyNumberFormat="1" applyFont="1" applyAlignment="1">
      <alignment vertical="center"/>
    </xf>
    <xf numFmtId="0" fontId="61" fillId="4" borderId="3" xfId="8" applyFont="1" applyFill="1" applyBorder="1" applyAlignment="1">
      <alignment horizontal="center" vertical="top"/>
    </xf>
    <xf numFmtId="0" fontId="6" fillId="0" borderId="12" xfId="0" applyFont="1" applyBorder="1" applyAlignment="1">
      <alignment horizontal="center" vertical="center"/>
    </xf>
    <xf numFmtId="0" fontId="8" fillId="0" borderId="13" xfId="0" applyFont="1" applyBorder="1"/>
    <xf numFmtId="0" fontId="8" fillId="0" borderId="26" xfId="0" applyFont="1" applyBorder="1"/>
    <xf numFmtId="0" fontId="8" fillId="0" borderId="14" xfId="0" applyFont="1" applyBorder="1"/>
    <xf numFmtId="0" fontId="15" fillId="0" borderId="26" xfId="8" applyFont="1" applyFill="1" applyBorder="1" applyAlignment="1">
      <alignment horizontal="center" vertical="top"/>
    </xf>
    <xf numFmtId="0" fontId="8" fillId="0" borderId="70" xfId="0" applyFont="1" applyBorder="1" applyAlignment="1">
      <alignment vertical="center" wrapText="1"/>
    </xf>
    <xf numFmtId="4" fontId="8" fillId="0" borderId="71" xfId="0" applyNumberFormat="1" applyFont="1" applyBorder="1"/>
    <xf numFmtId="0" fontId="8" fillId="0" borderId="9" xfId="0" applyFont="1" applyBorder="1"/>
    <xf numFmtId="0" fontId="8" fillId="0" borderId="8" xfId="0" applyFont="1" applyBorder="1"/>
    <xf numFmtId="0" fontId="15" fillId="0" borderId="8" xfId="8" applyFont="1" applyFill="1" applyBorder="1" applyAlignment="1">
      <alignment horizontal="center" vertical="top"/>
    </xf>
    <xf numFmtId="0" fontId="8" fillId="0" borderId="72" xfId="0" applyFont="1" applyBorder="1" applyAlignment="1">
      <alignment horizontal="left" wrapText="1"/>
    </xf>
    <xf numFmtId="4" fontId="8" fillId="0" borderId="73" xfId="0" applyNumberFormat="1" applyFont="1" applyBorder="1"/>
    <xf numFmtId="0" fontId="74" fillId="0" borderId="0" xfId="0" applyFont="1"/>
    <xf numFmtId="0" fontId="15" fillId="0" borderId="0" xfId="8" applyFont="1" applyFill="1" applyBorder="1" applyAlignment="1">
      <alignment horizontal="center" vertical="top"/>
    </xf>
    <xf numFmtId="0" fontId="8" fillId="0" borderId="74" xfId="0" applyFont="1" applyBorder="1" applyAlignment="1">
      <alignment horizontal="left" vertical="center" wrapText="1"/>
    </xf>
    <xf numFmtId="4" fontId="8" fillId="0" borderId="75" xfId="0" applyNumberFormat="1" applyFont="1" applyBorder="1"/>
    <xf numFmtId="0" fontId="8" fillId="0" borderId="72" xfId="0" applyFont="1" applyBorder="1" applyAlignment="1">
      <alignment horizontal="left" vertical="center" wrapText="1"/>
    </xf>
    <xf numFmtId="0" fontId="8" fillId="0" borderId="10" xfId="0" applyFont="1" applyBorder="1"/>
    <xf numFmtId="0" fontId="8" fillId="0" borderId="1" xfId="0" applyFont="1" applyBorder="1"/>
    <xf numFmtId="0" fontId="8" fillId="0" borderId="11" xfId="0" applyFont="1" applyBorder="1"/>
    <xf numFmtId="0" fontId="15" fillId="0" borderId="1" xfId="8" applyFont="1" applyFill="1" applyBorder="1" applyAlignment="1">
      <alignment horizontal="center" vertical="top"/>
    </xf>
    <xf numFmtId="0" fontId="8" fillId="0" borderId="10" xfId="0" applyFont="1" applyBorder="1" applyAlignment="1">
      <alignment horizontal="left" wrapText="1"/>
    </xf>
    <xf numFmtId="4" fontId="8" fillId="0" borderId="7" xfId="0" applyNumberFormat="1" applyFont="1" applyBorder="1"/>
    <xf numFmtId="0" fontId="7" fillId="4" borderId="12" xfId="0" applyFont="1" applyFill="1" applyBorder="1"/>
    <xf numFmtId="0" fontId="61" fillId="4" borderId="3" xfId="8" applyFont="1" applyFill="1" applyBorder="1" applyAlignment="1">
      <alignment horizontal="center"/>
    </xf>
    <xf numFmtId="0" fontId="7" fillId="4" borderId="3" xfId="0" applyFont="1" applyFill="1" applyBorder="1"/>
    <xf numFmtId="4" fontId="7" fillId="0" borderId="12" xfId="0" applyNumberFormat="1" applyFont="1" applyBorder="1"/>
    <xf numFmtId="0" fontId="8" fillId="0" borderId="70" xfId="0" applyFont="1" applyBorder="1" applyAlignment="1">
      <alignment horizontal="left" vertical="center" wrapText="1"/>
    </xf>
    <xf numFmtId="0" fontId="8" fillId="0" borderId="72" xfId="0" applyFont="1" applyBorder="1" applyAlignment="1">
      <alignment vertical="center" wrapText="1"/>
    </xf>
    <xf numFmtId="0" fontId="8" fillId="0" borderId="72" xfId="0" applyFont="1" applyBorder="1"/>
    <xf numFmtId="0" fontId="8" fillId="0" borderId="10" xfId="0" applyFont="1" applyBorder="1" applyAlignment="1">
      <alignment vertical="center" wrapText="1"/>
    </xf>
    <xf numFmtId="0" fontId="15" fillId="0" borderId="2" xfId="8" applyFont="1" applyFill="1" applyBorder="1" applyAlignment="1">
      <alignment horizontal="center" vertical="top"/>
    </xf>
    <xf numFmtId="0" fontId="8" fillId="0" borderId="53" xfId="0" applyFont="1" applyBorder="1" applyAlignment="1">
      <alignment vertical="center" wrapText="1"/>
    </xf>
    <xf numFmtId="4" fontId="8" fillId="0" borderId="52" xfId="0" applyNumberFormat="1" applyFont="1" applyBorder="1"/>
    <xf numFmtId="0" fontId="61" fillId="4" borderId="12" xfId="8" applyFont="1" applyFill="1" applyBorder="1" applyAlignment="1">
      <alignment horizontal="center"/>
    </xf>
    <xf numFmtId="0" fontId="7" fillId="4" borderId="4" xfId="0" applyFont="1" applyFill="1" applyBorder="1"/>
    <xf numFmtId="0" fontId="8" fillId="0" borderId="3" xfId="0" applyFont="1" applyBorder="1"/>
    <xf numFmtId="0" fontId="8" fillId="0" borderId="4" xfId="0" applyFont="1" applyBorder="1"/>
    <xf numFmtId="0" fontId="8" fillId="0" borderId="5" xfId="0" applyFont="1" applyBorder="1"/>
    <xf numFmtId="0" fontId="15" fillId="0" borderId="12" xfId="8" applyFont="1" applyFill="1" applyBorder="1" applyAlignment="1">
      <alignment horizontal="center" vertical="top"/>
    </xf>
    <xf numFmtId="0" fontId="8" fillId="0" borderId="4" xfId="0" applyFont="1" applyBorder="1" applyAlignment="1">
      <alignment horizontal="left" vertical="center" wrapText="1"/>
    </xf>
    <xf numFmtId="4" fontId="8" fillId="0" borderId="12" xfId="0" applyNumberFormat="1" applyFont="1" applyBorder="1"/>
    <xf numFmtId="0" fontId="61" fillId="0" borderId="12" xfId="8" applyFont="1" applyFill="1" applyBorder="1" applyAlignment="1">
      <alignment horizontal="center"/>
    </xf>
    <xf numFmtId="0" fontId="17" fillId="0" borderId="70" xfId="0" applyFont="1" applyBorder="1"/>
    <xf numFmtId="0" fontId="15" fillId="0" borderId="0" xfId="8" quotePrefix="1" applyFont="1" applyFill="1" applyBorder="1" applyAlignment="1">
      <alignment horizontal="center" vertical="top"/>
    </xf>
    <xf numFmtId="0" fontId="17" fillId="0" borderId="74" xfId="0" applyFont="1" applyBorder="1"/>
    <xf numFmtId="0" fontId="17" fillId="0" borderId="72" xfId="0" applyFont="1" applyBorder="1"/>
    <xf numFmtId="0" fontId="15" fillId="0" borderId="8" xfId="8" quotePrefix="1" applyFont="1" applyFill="1" applyBorder="1" applyAlignment="1">
      <alignment horizontal="center" vertical="top"/>
    </xf>
    <xf numFmtId="0" fontId="8" fillId="0" borderId="74" xfId="0" applyFont="1" applyBorder="1"/>
    <xf numFmtId="0" fontId="61" fillId="0" borderId="3" xfId="8" applyFont="1" applyFill="1" applyBorder="1" applyAlignment="1">
      <alignment horizontal="center" vertical="center" wrapText="1"/>
    </xf>
    <xf numFmtId="0" fontId="8" fillId="0" borderId="74" xfId="0" applyFont="1" applyBorder="1" applyAlignment="1">
      <alignment horizontal="left" wrapText="1"/>
    </xf>
    <xf numFmtId="0" fontId="8" fillId="0" borderId="72" xfId="0" applyFont="1" applyBorder="1" applyAlignment="1">
      <alignment wrapText="1"/>
    </xf>
    <xf numFmtId="0" fontId="8" fillId="0" borderId="74" xfId="0" applyFont="1" applyBorder="1" applyAlignment="1">
      <alignment vertical="center" wrapText="1"/>
    </xf>
    <xf numFmtId="0" fontId="8" fillId="0" borderId="10" xfId="0" applyFont="1" applyBorder="1" applyAlignment="1">
      <alignment horizontal="left" vertical="center" wrapText="1"/>
    </xf>
    <xf numFmtId="0" fontId="7" fillId="0" borderId="12" xfId="0" applyFont="1" applyBorder="1"/>
    <xf numFmtId="0" fontId="61" fillId="0" borderId="12" xfId="8" applyFont="1" applyFill="1" applyBorder="1" applyAlignment="1">
      <alignment horizontal="center" vertical="top"/>
    </xf>
    <xf numFmtId="0" fontId="15" fillId="0" borderId="26" xfId="8" quotePrefix="1" applyFont="1" applyFill="1" applyBorder="1" applyAlignment="1">
      <alignment horizontal="center" vertical="top"/>
    </xf>
    <xf numFmtId="0" fontId="15" fillId="0" borderId="1" xfId="8" quotePrefix="1" applyFont="1" applyFill="1" applyBorder="1" applyAlignment="1">
      <alignment horizontal="center" vertical="top"/>
    </xf>
    <xf numFmtId="0" fontId="8" fillId="0" borderId="75" xfId="0" applyFont="1" applyBorder="1" applyAlignment="1">
      <alignment horizontal="left" vertical="center" wrapText="1"/>
    </xf>
    <xf numFmtId="0" fontId="7" fillId="0" borderId="7" xfId="0" applyFont="1" applyBorder="1"/>
    <xf numFmtId="0" fontId="7" fillId="4" borderId="1" xfId="0" applyFont="1" applyFill="1" applyBorder="1"/>
    <xf numFmtId="0" fontId="15" fillId="0" borderId="7" xfId="8" applyFont="1" applyFill="1" applyBorder="1" applyAlignment="1">
      <alignment horizontal="center" vertical="top"/>
    </xf>
    <xf numFmtId="0" fontId="7" fillId="0" borderId="12" xfId="12" applyFont="1" applyBorder="1"/>
    <xf numFmtId="0" fontId="7" fillId="4" borderId="4" xfId="12" applyFont="1" applyFill="1" applyBorder="1"/>
    <xf numFmtId="0" fontId="8" fillId="0" borderId="4" xfId="0" applyFont="1" applyBorder="1" applyAlignment="1">
      <alignment vertical="top" wrapText="1"/>
    </xf>
    <xf numFmtId="0" fontId="61" fillId="0" borderId="12" xfId="8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vertical="center"/>
    </xf>
    <xf numFmtId="0" fontId="8" fillId="0" borderId="73" xfId="0" applyFont="1" applyBorder="1" applyAlignment="1">
      <alignment vertical="center" wrapText="1"/>
    </xf>
    <xf numFmtId="4" fontId="8" fillId="0" borderId="6" xfId="0" applyNumberFormat="1" applyFont="1" applyBorder="1"/>
    <xf numFmtId="0" fontId="7" fillId="0" borderId="7" xfId="0" applyFont="1" applyBorder="1" applyAlignment="1">
      <alignment vertical="center"/>
    </xf>
    <xf numFmtId="0" fontId="61" fillId="0" borderId="12" xfId="8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left" vertical="top" wrapText="1"/>
    </xf>
    <xf numFmtId="0" fontId="8" fillId="0" borderId="76" xfId="0" applyFont="1" applyBorder="1" applyAlignment="1">
      <alignment vertical="top" wrapText="1"/>
    </xf>
    <xf numFmtId="4" fontId="8" fillId="4" borderId="12" xfId="0" applyNumberFormat="1" applyFont="1" applyFill="1" applyBorder="1"/>
    <xf numFmtId="0" fontId="68" fillId="0" borderId="3" xfId="0" applyFont="1" applyBorder="1" applyAlignment="1">
      <alignment horizontal="center"/>
    </xf>
    <xf numFmtId="0" fontId="68" fillId="0" borderId="4" xfId="0" applyFont="1" applyBorder="1" applyAlignment="1">
      <alignment horizontal="center"/>
    </xf>
    <xf numFmtId="4" fontId="68" fillId="0" borderId="12" xfId="0" applyNumberFormat="1" applyFont="1" applyBorder="1"/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4" fontId="23" fillId="0" borderId="12" xfId="0" applyNumberFormat="1" applyFont="1" applyBorder="1" applyAlignment="1">
      <alignment vertical="center"/>
    </xf>
    <xf numFmtId="0" fontId="68" fillId="0" borderId="0" xfId="0" applyFont="1" applyAlignment="1">
      <alignment vertical="center"/>
    </xf>
    <xf numFmtId="0" fontId="2" fillId="0" borderId="0" xfId="13"/>
    <xf numFmtId="0" fontId="8" fillId="0" borderId="0" xfId="13" applyFont="1" applyAlignment="1">
      <alignment horizontal="left"/>
    </xf>
    <xf numFmtId="0" fontId="8" fillId="0" borderId="0" xfId="13" applyFont="1"/>
    <xf numFmtId="0" fontId="63" fillId="0" borderId="0" xfId="13" applyFont="1"/>
    <xf numFmtId="0" fontId="22" fillId="0" borderId="0" xfId="13" applyFont="1" applyAlignment="1">
      <alignment horizontal="centerContinuous" vertical="center"/>
    </xf>
    <xf numFmtId="0" fontId="2" fillId="0" borderId="0" xfId="13" applyAlignment="1">
      <alignment vertical="center"/>
    </xf>
    <xf numFmtId="0" fontId="75" fillId="0" borderId="0" xfId="13" applyFont="1" applyAlignment="1">
      <alignment vertical="center"/>
    </xf>
    <xf numFmtId="0" fontId="8" fillId="0" borderId="0" xfId="13" applyFont="1" applyAlignment="1">
      <alignment horizontal="center" vertical="center"/>
    </xf>
    <xf numFmtId="0" fontId="22" fillId="3" borderId="2" xfId="13" applyFont="1" applyFill="1" applyBorder="1" applyAlignment="1">
      <alignment horizontal="center" vertical="center"/>
    </xf>
    <xf numFmtId="0" fontId="22" fillId="3" borderId="13" xfId="13" applyFont="1" applyFill="1" applyBorder="1" applyAlignment="1">
      <alignment horizontal="center" vertical="center"/>
    </xf>
    <xf numFmtId="0" fontId="22" fillId="3" borderId="13" xfId="13" applyFont="1" applyFill="1" applyBorder="1" applyAlignment="1">
      <alignment horizontal="center" vertical="center" wrapText="1"/>
    </xf>
    <xf numFmtId="0" fontId="22" fillId="3" borderId="6" xfId="13" applyFont="1" applyFill="1" applyBorder="1" applyAlignment="1">
      <alignment horizontal="center" vertical="center"/>
    </xf>
    <xf numFmtId="0" fontId="22" fillId="3" borderId="7" xfId="13" applyFont="1" applyFill="1" applyBorder="1" applyAlignment="1">
      <alignment horizontal="center" vertical="center"/>
    </xf>
    <xf numFmtId="0" fontId="73" fillId="3" borderId="12" xfId="13" applyFont="1" applyFill="1" applyBorder="1" applyAlignment="1">
      <alignment horizontal="center" vertical="center"/>
    </xf>
    <xf numFmtId="0" fontId="47" fillId="0" borderId="7" xfId="13" applyFont="1" applyBorder="1" applyAlignment="1">
      <alignment vertical="center"/>
    </xf>
    <xf numFmtId="0" fontId="47" fillId="0" borderId="7" xfId="13" applyFont="1" applyBorder="1" applyAlignment="1">
      <alignment horizontal="center" vertical="center"/>
    </xf>
    <xf numFmtId="0" fontId="63" fillId="0" borderId="6" xfId="13" applyFont="1" applyBorder="1" applyAlignment="1">
      <alignment vertical="center"/>
    </xf>
    <xf numFmtId="0" fontId="63" fillId="0" borderId="2" xfId="13" applyFont="1" applyBorder="1" applyAlignment="1">
      <alignment horizontal="left" vertical="center" indent="2"/>
    </xf>
    <xf numFmtId="0" fontId="63" fillId="0" borderId="6" xfId="13" applyFont="1" applyBorder="1" applyAlignment="1">
      <alignment horizontal="left" vertical="center" indent="2"/>
    </xf>
    <xf numFmtId="0" fontId="63" fillId="0" borderId="7" xfId="13" applyFont="1" applyBorder="1" applyAlignment="1">
      <alignment vertical="center"/>
    </xf>
    <xf numFmtId="0" fontId="63" fillId="0" borderId="7" xfId="13" applyFont="1" applyBorder="1" applyAlignment="1">
      <alignment horizontal="left" vertical="center" indent="2"/>
    </xf>
    <xf numFmtId="0" fontId="63" fillId="0" borderId="4" xfId="13" applyFont="1" applyBorder="1" applyAlignment="1">
      <alignment vertical="center"/>
    </xf>
    <xf numFmtId="0" fontId="63" fillId="0" borderId="0" xfId="13" applyFont="1" applyAlignment="1">
      <alignment vertical="center"/>
    </xf>
    <xf numFmtId="0" fontId="63" fillId="0" borderId="0" xfId="13" applyFont="1" applyAlignment="1">
      <alignment horizontal="left" vertical="center" indent="2"/>
    </xf>
    <xf numFmtId="0" fontId="47" fillId="0" borderId="12" xfId="13" applyFont="1" applyBorder="1" applyAlignment="1">
      <alignment vertical="center"/>
    </xf>
    <xf numFmtId="0" fontId="47" fillId="0" borderId="12" xfId="13" applyFont="1" applyBorder="1" applyAlignment="1">
      <alignment horizontal="center" vertical="center"/>
    </xf>
    <xf numFmtId="0" fontId="63" fillId="0" borderId="2" xfId="13" applyFont="1" applyBorder="1" applyAlignment="1">
      <alignment vertical="center"/>
    </xf>
    <xf numFmtId="0" fontId="63" fillId="0" borderId="6" xfId="13" applyFont="1" applyBorder="1" applyAlignment="1">
      <alignment horizontal="left" vertical="top" wrapText="1" indent="2"/>
    </xf>
    <xf numFmtId="0" fontId="63" fillId="0" borderId="12" xfId="13" applyFont="1" applyBorder="1" applyAlignment="1">
      <alignment horizontal="left" vertical="center" indent="2"/>
    </xf>
    <xf numFmtId="0" fontId="77" fillId="0" borderId="6" xfId="13" applyFont="1" applyBorder="1" applyAlignment="1">
      <alignment horizontal="center" vertical="top"/>
    </xf>
    <xf numFmtId="0" fontId="63" fillId="0" borderId="6" xfId="13" applyFont="1" applyBorder="1" applyAlignment="1">
      <alignment horizontal="left" vertical="center" wrapText="1" indent="2"/>
    </xf>
    <xf numFmtId="4" fontId="45" fillId="0" borderId="7" xfId="13" applyNumberFormat="1" applyFont="1" applyBorder="1" applyAlignment="1">
      <alignment vertical="center"/>
    </xf>
    <xf numFmtId="4" fontId="45" fillId="0" borderId="12" xfId="13" applyNumberFormat="1" applyFont="1" applyBorder="1"/>
    <xf numFmtId="0" fontId="19" fillId="0" borderId="0" xfId="13" applyFont="1"/>
    <xf numFmtId="0" fontId="15" fillId="0" borderId="0" xfId="13" applyFont="1"/>
    <xf numFmtId="0" fontId="78" fillId="0" borderId="0" xfId="13" applyFont="1"/>
    <xf numFmtId="0" fontId="7" fillId="0" borderId="0" xfId="13" applyFont="1" applyAlignment="1">
      <alignment horizontal="left"/>
    </xf>
    <xf numFmtId="0" fontId="7" fillId="0" borderId="0" xfId="13" applyFont="1"/>
    <xf numFmtId="0" fontId="79" fillId="3" borderId="2" xfId="13" applyFont="1" applyFill="1" applyBorder="1" applyAlignment="1">
      <alignment horizontal="center" vertical="center"/>
    </xf>
    <xf numFmtId="0" fontId="79" fillId="3" borderId="13" xfId="13" applyFont="1" applyFill="1" applyBorder="1" applyAlignment="1">
      <alignment horizontal="center" vertical="center" wrapText="1"/>
    </xf>
    <xf numFmtId="0" fontId="79" fillId="3" borderId="7" xfId="13" applyFont="1" applyFill="1" applyBorder="1" applyAlignment="1">
      <alignment horizontal="center" vertical="center"/>
    </xf>
    <xf numFmtId="0" fontId="79" fillId="3" borderId="6" xfId="13" applyFont="1" applyFill="1" applyBorder="1" applyAlignment="1">
      <alignment horizontal="center" vertical="center"/>
    </xf>
    <xf numFmtId="0" fontId="79" fillId="3" borderId="6" xfId="13" applyFont="1" applyFill="1" applyBorder="1" applyAlignment="1">
      <alignment horizontal="center" vertical="center" wrapText="1"/>
    </xf>
    <xf numFmtId="0" fontId="79" fillId="3" borderId="7" xfId="13" applyFont="1" applyFill="1" applyBorder="1" applyAlignment="1">
      <alignment horizontal="center" vertical="center" wrapText="1"/>
    </xf>
    <xf numFmtId="0" fontId="80" fillId="0" borderId="6" xfId="13" applyFont="1" applyBorder="1" applyAlignment="1">
      <alignment vertical="center"/>
    </xf>
    <xf numFmtId="0" fontId="80" fillId="0" borderId="6" xfId="13" applyFont="1" applyBorder="1" applyAlignment="1">
      <alignment horizontal="left" vertical="center" indent="2"/>
    </xf>
    <xf numFmtId="4" fontId="81" fillId="0" borderId="6" xfId="13" applyNumberFormat="1" applyFont="1" applyBorder="1" applyAlignment="1">
      <alignment vertical="center"/>
    </xf>
    <xf numFmtId="0" fontId="80" fillId="0" borderId="7" xfId="13" applyFont="1" applyBorder="1" applyAlignment="1">
      <alignment vertical="center"/>
    </xf>
    <xf numFmtId="0" fontId="80" fillId="0" borderId="7" xfId="13" applyFont="1" applyBorder="1" applyAlignment="1">
      <alignment horizontal="left" vertical="center" indent="2"/>
    </xf>
    <xf numFmtId="4" fontId="81" fillId="0" borderId="7" xfId="13" applyNumberFormat="1" applyFont="1" applyBorder="1" applyAlignment="1">
      <alignment vertical="center"/>
    </xf>
    <xf numFmtId="0" fontId="7" fillId="0" borderId="0" xfId="11" applyFont="1" applyAlignment="1">
      <alignment horizontal="left"/>
    </xf>
    <xf numFmtId="0" fontId="22" fillId="0" borderId="0" xfId="11" applyFont="1" applyAlignment="1">
      <alignment horizontal="centerContinuous" vertical="center" wrapText="1"/>
    </xf>
    <xf numFmtId="0" fontId="6" fillId="0" borderId="0" xfId="11" applyFont="1" applyAlignment="1">
      <alignment horizontal="center" vertical="center"/>
    </xf>
    <xf numFmtId="0" fontId="15" fillId="0" borderId="0" xfId="11" applyFont="1"/>
    <xf numFmtId="0" fontId="15" fillId="0" borderId="0" xfId="11" applyFont="1" applyAlignment="1">
      <alignment vertical="center"/>
    </xf>
    <xf numFmtId="0" fontId="8" fillId="0" borderId="0" xfId="11" applyFont="1" applyAlignment="1">
      <alignment horizontal="centerContinuous"/>
    </xf>
    <xf numFmtId="0" fontId="6" fillId="3" borderId="12" xfId="11" applyFont="1" applyFill="1" applyBorder="1" applyAlignment="1">
      <alignment horizontal="center" vertical="center"/>
    </xf>
    <xf numFmtId="0" fontId="15" fillId="0" borderId="0" xfId="11" applyFont="1" applyAlignment="1">
      <alignment horizontal="right"/>
    </xf>
    <xf numFmtId="3" fontId="15" fillId="0" borderId="0" xfId="11" applyNumberFormat="1" applyFont="1" applyAlignment="1">
      <alignment horizontal="right"/>
    </xf>
    <xf numFmtId="0" fontId="73" fillId="0" borderId="12" xfId="11" applyFont="1" applyBorder="1" applyAlignment="1">
      <alignment horizontal="center" vertical="center"/>
    </xf>
    <xf numFmtId="0" fontId="73" fillId="0" borderId="0" xfId="11" applyFont="1"/>
    <xf numFmtId="0" fontId="7" fillId="0" borderId="12" xfId="11" applyFont="1" applyBorder="1" applyAlignment="1">
      <alignment horizontal="right" vertical="top"/>
    </xf>
    <xf numFmtId="0" fontId="7" fillId="0" borderId="12" xfId="11" applyFont="1" applyBorder="1" applyAlignment="1">
      <alignment vertical="top"/>
    </xf>
    <xf numFmtId="0" fontId="7" fillId="0" borderId="7" xfId="11" applyFont="1" applyBorder="1" applyAlignment="1">
      <alignment vertical="top" wrapText="1"/>
    </xf>
    <xf numFmtId="4" fontId="7" fillId="0" borderId="12" xfId="11" applyNumberFormat="1" applyFont="1" applyBorder="1" applyAlignment="1">
      <alignment vertical="center"/>
    </xf>
    <xf numFmtId="0" fontId="67" fillId="0" borderId="0" xfId="11" applyFont="1"/>
    <xf numFmtId="0" fontId="7" fillId="0" borderId="2" xfId="11" applyFont="1" applyBorder="1" applyAlignment="1">
      <alignment horizontal="right" vertical="top"/>
    </xf>
    <xf numFmtId="0" fontId="7" fillId="0" borderId="2" xfId="11" applyFont="1" applyBorder="1" applyAlignment="1">
      <alignment vertical="top"/>
    </xf>
    <xf numFmtId="4" fontId="7" fillId="0" borderId="2" xfId="11" applyNumberFormat="1" applyFont="1" applyBorder="1" applyAlignment="1">
      <alignment vertical="center"/>
    </xf>
    <xf numFmtId="0" fontId="7" fillId="0" borderId="43" xfId="11" applyFont="1" applyBorder="1" applyAlignment="1">
      <alignment vertical="top"/>
    </xf>
    <xf numFmtId="0" fontId="7" fillId="0" borderId="12" xfId="11" applyFont="1" applyBorder="1" applyAlignment="1">
      <alignment vertical="top" wrapText="1"/>
    </xf>
    <xf numFmtId="3" fontId="82" fillId="0" borderId="0" xfId="11" applyNumberFormat="1" applyFont="1"/>
    <xf numFmtId="0" fontId="23" fillId="0" borderId="3" xfId="11" applyFont="1" applyBorder="1" applyAlignment="1">
      <alignment horizontal="centerContinuous" vertical="center"/>
    </xf>
    <xf numFmtId="0" fontId="23" fillId="0" borderId="4" xfId="11" applyFont="1" applyBorder="1" applyAlignment="1">
      <alignment horizontal="centerContinuous" vertical="center"/>
    </xf>
    <xf numFmtId="0" fontId="72" fillId="0" borderId="5" xfId="11" applyFont="1" applyBorder="1" applyAlignment="1">
      <alignment horizontal="centerContinuous" vertical="center"/>
    </xf>
    <xf numFmtId="4" fontId="23" fillId="0" borderId="12" xfId="11" applyNumberFormat="1" applyFont="1" applyBorder="1" applyAlignment="1">
      <alignment horizontal="right" vertical="center"/>
    </xf>
    <xf numFmtId="0" fontId="72" fillId="0" borderId="0" xfId="11" applyFont="1"/>
    <xf numFmtId="4" fontId="60" fillId="0" borderId="0" xfId="11" applyNumberFormat="1"/>
    <xf numFmtId="0" fontId="15" fillId="0" borderId="0" xfId="13" applyFont="1" applyAlignment="1">
      <alignment vertical="center"/>
    </xf>
    <xf numFmtId="0" fontId="22" fillId="0" borderId="0" xfId="13" applyFont="1" applyAlignment="1">
      <alignment horizontal="left" vertical="center"/>
    </xf>
    <xf numFmtId="0" fontId="64" fillId="0" borderId="0" xfId="13" applyFont="1" applyAlignment="1">
      <alignment horizontal="left" vertical="center" wrapText="1"/>
    </xf>
    <xf numFmtId="0" fontId="62" fillId="0" borderId="0" xfId="13" applyFont="1" applyAlignment="1">
      <alignment horizontal="center"/>
    </xf>
    <xf numFmtId="0" fontId="6" fillId="3" borderId="12" xfId="13" applyFont="1" applyFill="1" applyBorder="1" applyAlignment="1">
      <alignment horizontal="center" vertical="center"/>
    </xf>
    <xf numFmtId="0" fontId="6" fillId="3" borderId="12" xfId="13" applyFont="1" applyFill="1" applyBorder="1" applyAlignment="1">
      <alignment horizontal="center" vertical="center" wrapText="1"/>
    </xf>
    <xf numFmtId="0" fontId="61" fillId="0" borderId="0" xfId="13" applyFont="1"/>
    <xf numFmtId="0" fontId="61" fillId="0" borderId="0" xfId="13" applyFont="1" applyAlignment="1">
      <alignment vertical="center"/>
    </xf>
    <xf numFmtId="0" fontId="9" fillId="0" borderId="12" xfId="13" applyFont="1" applyBorder="1" applyAlignment="1">
      <alignment horizontal="center" vertical="center"/>
    </xf>
    <xf numFmtId="0" fontId="62" fillId="0" borderId="0" xfId="13" applyFont="1"/>
    <xf numFmtId="0" fontId="62" fillId="0" borderId="0" xfId="13" applyFont="1" applyAlignment="1">
      <alignment vertical="center"/>
    </xf>
    <xf numFmtId="0" fontId="61" fillId="0" borderId="6" xfId="13" applyFont="1" applyBorder="1" applyAlignment="1">
      <alignment horizontal="center" vertical="center"/>
    </xf>
    <xf numFmtId="0" fontId="61" fillId="0" borderId="6" xfId="13" applyFont="1" applyBorder="1" applyAlignment="1">
      <alignment vertical="center"/>
    </xf>
    <xf numFmtId="49" fontId="61" fillId="0" borderId="2" xfId="13" applyNumberFormat="1" applyFont="1" applyBorder="1" applyAlignment="1">
      <alignment horizontal="center" vertical="center"/>
    </xf>
    <xf numFmtId="49" fontId="61" fillId="0" borderId="12" xfId="13" applyNumberFormat="1" applyFont="1" applyBorder="1" applyAlignment="1">
      <alignment horizontal="center" vertical="center"/>
    </xf>
    <xf numFmtId="4" fontId="72" fillId="0" borderId="12" xfId="13" applyNumberFormat="1" applyFont="1" applyBorder="1" applyAlignment="1">
      <alignment vertical="center"/>
    </xf>
    <xf numFmtId="4" fontId="61" fillId="0" borderId="12" xfId="13" applyNumberFormat="1" applyFont="1" applyBorder="1" applyAlignment="1">
      <alignment horizontal="center" vertical="center"/>
    </xf>
    <xf numFmtId="0" fontId="83" fillId="0" borderId="0" xfId="13" applyFont="1"/>
    <xf numFmtId="0" fontId="72" fillId="0" borderId="6" xfId="13" applyFont="1" applyBorder="1" applyAlignment="1">
      <alignment horizontal="center" vertical="top"/>
    </xf>
    <xf numFmtId="0" fontId="72" fillId="0" borderId="6" xfId="13" applyFont="1" applyBorder="1" applyAlignment="1">
      <alignment vertical="center" wrapText="1"/>
    </xf>
    <xf numFmtId="49" fontId="61" fillId="0" borderId="6" xfId="13" applyNumberFormat="1" applyFont="1" applyBorder="1" applyAlignment="1">
      <alignment horizontal="center"/>
    </xf>
    <xf numFmtId="49" fontId="61" fillId="0" borderId="12" xfId="13" applyNumberFormat="1" applyFont="1" applyBorder="1" applyAlignment="1">
      <alignment horizontal="center"/>
    </xf>
    <xf numFmtId="4" fontId="61" fillId="0" borderId="12" xfId="13" applyNumberFormat="1" applyFont="1" applyBorder="1" applyAlignment="1">
      <alignment horizontal="center"/>
    </xf>
    <xf numFmtId="4" fontId="72" fillId="0" borderId="12" xfId="13" applyNumberFormat="1" applyFont="1" applyBorder="1" applyAlignment="1">
      <alignment horizontal="right"/>
    </xf>
    <xf numFmtId="0" fontId="50" fillId="0" borderId="6" xfId="13" applyFont="1" applyBorder="1" applyAlignment="1">
      <alignment vertical="center"/>
    </xf>
    <xf numFmtId="49" fontId="61" fillId="0" borderId="6" xfId="13" applyNumberFormat="1" applyFont="1" applyBorder="1" applyAlignment="1">
      <alignment horizontal="center" vertical="center"/>
    </xf>
    <xf numFmtId="4" fontId="61" fillId="0" borderId="6" xfId="13" applyNumberFormat="1" applyFont="1" applyBorder="1" applyAlignment="1">
      <alignment horizontal="center" vertical="center"/>
    </xf>
    <xf numFmtId="4" fontId="61" fillId="0" borderId="6" xfId="13" applyNumberFormat="1" applyFont="1" applyBorder="1" applyAlignment="1">
      <alignment vertical="center"/>
    </xf>
    <xf numFmtId="0" fontId="50" fillId="0" borderId="6" xfId="13" applyFont="1" applyBorder="1" applyAlignment="1">
      <alignment vertical="center" wrapText="1"/>
    </xf>
    <xf numFmtId="4" fontId="50" fillId="0" borderId="6" xfId="13" applyNumberFormat="1" applyFont="1" applyBorder="1" applyAlignment="1">
      <alignment horizontal="center" vertical="center"/>
    </xf>
    <xf numFmtId="4" fontId="50" fillId="0" borderId="6" xfId="13" applyNumberFormat="1" applyFont="1" applyBorder="1" applyAlignment="1">
      <alignment vertical="center"/>
    </xf>
    <xf numFmtId="0" fontId="50" fillId="0" borderId="6" xfId="13" applyFont="1" applyBorder="1" applyAlignment="1">
      <alignment horizontal="center" vertical="center"/>
    </xf>
    <xf numFmtId="49" fontId="50" fillId="0" borderId="6" xfId="13" applyNumberFormat="1" applyFont="1" applyBorder="1" applyAlignment="1">
      <alignment horizontal="center" vertical="center"/>
    </xf>
    <xf numFmtId="0" fontId="50" fillId="0" borderId="0" xfId="13" applyFont="1"/>
    <xf numFmtId="0" fontId="50" fillId="0" borderId="0" xfId="13" applyFont="1" applyAlignment="1">
      <alignment vertical="center"/>
    </xf>
    <xf numFmtId="0" fontId="50" fillId="0" borderId="7" xfId="13" applyFont="1" applyBorder="1" applyAlignment="1">
      <alignment horizontal="center" vertical="center"/>
    </xf>
    <xf numFmtId="0" fontId="50" fillId="0" borderId="7" xfId="13" applyFont="1" applyBorder="1" applyAlignment="1">
      <alignment vertical="center"/>
    </xf>
    <xf numFmtId="49" fontId="50" fillId="0" borderId="7" xfId="13" applyNumberFormat="1" applyFont="1" applyBorder="1" applyAlignment="1">
      <alignment horizontal="center" vertical="center"/>
    </xf>
    <xf numFmtId="49" fontId="69" fillId="0" borderId="7" xfId="13" applyNumberFormat="1" applyFont="1" applyBorder="1" applyAlignment="1">
      <alignment horizontal="center" vertical="center"/>
    </xf>
    <xf numFmtId="4" fontId="50" fillId="0" borderId="7" xfId="13" applyNumberFormat="1" applyFont="1" applyBorder="1" applyAlignment="1">
      <alignment horizontal="center" vertical="center"/>
    </xf>
    <xf numFmtId="4" fontId="50" fillId="0" borderId="7" xfId="13" applyNumberFormat="1" applyFont="1" applyBorder="1" applyAlignment="1">
      <alignment vertical="center"/>
    </xf>
    <xf numFmtId="0" fontId="71" fillId="0" borderId="3" xfId="13" applyFont="1" applyBorder="1" applyAlignment="1">
      <alignment horizontal="center" vertical="center"/>
    </xf>
    <xf numFmtId="0" fontId="76" fillId="0" borderId="4" xfId="13" applyFont="1" applyBorder="1" applyAlignment="1">
      <alignment horizontal="right" vertical="center"/>
    </xf>
    <xf numFmtId="0" fontId="84" fillId="0" borderId="4" xfId="13" applyFont="1" applyBorder="1" applyAlignment="1">
      <alignment horizontal="center" vertical="center"/>
    </xf>
    <xf numFmtId="4" fontId="71" fillId="0" borderId="5" xfId="13" applyNumberFormat="1" applyFont="1" applyBorder="1" applyAlignment="1">
      <alignment vertical="center"/>
    </xf>
    <xf numFmtId="4" fontId="71" fillId="0" borderId="12" xfId="13" applyNumberFormat="1" applyFont="1" applyBorder="1" applyAlignment="1">
      <alignment vertical="center"/>
    </xf>
    <xf numFmtId="0" fontId="69" fillId="0" borderId="0" xfId="13" applyFont="1"/>
    <xf numFmtId="0" fontId="69" fillId="0" borderId="0" xfId="13" applyFont="1" applyAlignment="1">
      <alignment vertical="center"/>
    </xf>
    <xf numFmtId="4" fontId="85" fillId="0" borderId="0" xfId="13" applyNumberFormat="1" applyFont="1"/>
    <xf numFmtId="0" fontId="65" fillId="0" borderId="0" xfId="13" applyFont="1" applyAlignment="1">
      <alignment vertical="center"/>
    </xf>
    <xf numFmtId="4" fontId="2" fillId="0" borderId="0" xfId="13" applyNumberFormat="1"/>
    <xf numFmtId="0" fontId="15" fillId="0" borderId="2" xfId="1" applyFont="1" applyBorder="1" applyAlignment="1">
      <alignment horizontal="center" vertical="center" wrapText="1"/>
    </xf>
    <xf numFmtId="0" fontId="15" fillId="0" borderId="6" xfId="1" applyFont="1" applyBorder="1" applyAlignment="1">
      <alignment horizontal="center" vertical="center" wrapText="1"/>
    </xf>
    <xf numFmtId="0" fontId="15" fillId="0" borderId="13" xfId="1" applyFont="1" applyBorder="1" applyAlignment="1">
      <alignment horizontal="center" vertical="center" wrapText="1"/>
    </xf>
    <xf numFmtId="0" fontId="15" fillId="0" borderId="9" xfId="1" applyFont="1" applyBorder="1" applyAlignment="1">
      <alignment horizontal="center" vertical="center" wrapText="1"/>
    </xf>
    <xf numFmtId="0" fontId="15" fillId="0" borderId="10" xfId="1" applyFont="1" applyBorder="1" applyAlignment="1">
      <alignment horizontal="center" vertical="center" wrapText="1"/>
    </xf>
    <xf numFmtId="0" fontId="53" fillId="0" borderId="0" xfId="1" applyFont="1" applyAlignment="1">
      <alignment horizontal="center" vertical="center"/>
    </xf>
    <xf numFmtId="0" fontId="18" fillId="0" borderId="2" xfId="1" applyFont="1" applyBorder="1" applyAlignment="1">
      <alignment horizontal="center" vertical="center"/>
    </xf>
    <xf numFmtId="0" fontId="18" fillId="0" borderId="6" xfId="1" applyFont="1" applyBorder="1" applyAlignment="1">
      <alignment horizontal="center" vertical="center"/>
    </xf>
    <xf numFmtId="0" fontId="6" fillId="0" borderId="0" xfId="12" applyFont="1" applyAlignment="1">
      <alignment horizontal="center" vertical="center" wrapText="1"/>
    </xf>
    <xf numFmtId="0" fontId="22" fillId="0" borderId="0" xfId="13" applyFont="1" applyAlignment="1">
      <alignment horizontal="center" vertical="center"/>
    </xf>
    <xf numFmtId="0" fontId="53" fillId="0" borderId="0" xfId="13" applyFont="1" applyAlignment="1">
      <alignment horizontal="center" vertical="center"/>
    </xf>
    <xf numFmtId="0" fontId="22" fillId="3" borderId="2" xfId="13" applyFont="1" applyFill="1" applyBorder="1" applyAlignment="1">
      <alignment horizontal="center" vertical="center"/>
    </xf>
    <xf numFmtId="0" fontId="22" fillId="3" borderId="6" xfId="13" applyFont="1" applyFill="1" applyBorder="1" applyAlignment="1">
      <alignment horizontal="center" vertical="center"/>
    </xf>
    <xf numFmtId="0" fontId="22" fillId="3" borderId="7" xfId="13" applyFont="1" applyFill="1" applyBorder="1" applyAlignment="1">
      <alignment horizontal="center" vertical="center"/>
    </xf>
    <xf numFmtId="0" fontId="22" fillId="3" borderId="2" xfId="13" applyFont="1" applyFill="1" applyBorder="1" applyAlignment="1">
      <alignment horizontal="center" vertical="center" wrapText="1"/>
    </xf>
    <xf numFmtId="0" fontId="22" fillId="3" borderId="6" xfId="13" applyFont="1" applyFill="1" applyBorder="1" applyAlignment="1">
      <alignment horizontal="center" vertical="center" wrapText="1"/>
    </xf>
    <xf numFmtId="0" fontId="22" fillId="3" borderId="7" xfId="13" applyFont="1" applyFill="1" applyBorder="1" applyAlignment="1">
      <alignment horizontal="center" vertical="center" wrapText="1"/>
    </xf>
    <xf numFmtId="0" fontId="79" fillId="3" borderId="2" xfId="13" applyFont="1" applyFill="1" applyBorder="1" applyAlignment="1">
      <alignment horizontal="center" vertical="center"/>
    </xf>
    <xf numFmtId="0" fontId="79" fillId="3" borderId="6" xfId="13" applyFont="1" applyFill="1" applyBorder="1" applyAlignment="1">
      <alignment horizontal="center" vertical="center"/>
    </xf>
    <xf numFmtId="0" fontId="79" fillId="3" borderId="7" xfId="13" applyFont="1" applyFill="1" applyBorder="1" applyAlignment="1">
      <alignment horizontal="center" vertical="center"/>
    </xf>
    <xf numFmtId="0" fontId="79" fillId="3" borderId="2" xfId="13" applyFont="1" applyFill="1" applyBorder="1" applyAlignment="1">
      <alignment horizontal="center" vertical="center" wrapText="1"/>
    </xf>
    <xf numFmtId="0" fontId="79" fillId="3" borderId="6" xfId="13" applyFont="1" applyFill="1" applyBorder="1" applyAlignment="1">
      <alignment horizontal="center" vertical="center" wrapText="1"/>
    </xf>
    <xf numFmtId="0" fontId="79" fillId="3" borderId="7" xfId="13" applyFont="1" applyFill="1" applyBorder="1" applyAlignment="1">
      <alignment horizontal="center" vertical="center" wrapText="1"/>
    </xf>
    <xf numFmtId="0" fontId="79" fillId="3" borderId="3" xfId="13" applyFont="1" applyFill="1" applyBorder="1" applyAlignment="1">
      <alignment horizontal="center" vertical="center"/>
    </xf>
    <xf numFmtId="0" fontId="79" fillId="3" borderId="5" xfId="13" applyFont="1" applyFill="1" applyBorder="1" applyAlignment="1">
      <alignment horizontal="center" vertical="center"/>
    </xf>
    <xf numFmtId="0" fontId="5" fillId="0" borderId="2" xfId="1" applyFont="1" applyBorder="1"/>
    <xf numFmtId="0" fontId="23" fillId="0" borderId="3" xfId="1" applyFont="1" applyBorder="1" applyAlignment="1">
      <alignment horizontal="centerContinuous" vertical="center"/>
    </xf>
    <xf numFmtId="0" fontId="23" fillId="0" borderId="4" xfId="1" applyFont="1" applyBorder="1" applyAlignment="1">
      <alignment horizontal="centerContinuous" vertical="center"/>
    </xf>
    <xf numFmtId="0" fontId="5" fillId="0" borderId="4" xfId="1" applyFont="1" applyBorder="1" applyAlignment="1">
      <alignment horizontal="centerContinuous" vertical="center"/>
    </xf>
    <xf numFmtId="0" fontId="5" fillId="0" borderId="5" xfId="1" applyFont="1" applyBorder="1" applyAlignment="1">
      <alignment horizontal="centerContinuous" vertical="center"/>
    </xf>
    <xf numFmtId="0" fontId="5" fillId="0" borderId="6" xfId="1" applyFont="1" applyBorder="1"/>
    <xf numFmtId="0" fontId="24" fillId="0" borderId="6" xfId="1" applyFont="1" applyBorder="1" applyAlignment="1">
      <alignment horizontal="center"/>
    </xf>
    <xf numFmtId="0" fontId="5" fillId="0" borderId="6" xfId="1" applyFont="1" applyBorder="1" applyAlignment="1">
      <alignment horizontal="center"/>
    </xf>
    <xf numFmtId="0" fontId="5" fillId="0" borderId="7" xfId="1" applyFont="1" applyBorder="1" applyAlignment="1">
      <alignment horizontal="center"/>
    </xf>
    <xf numFmtId="0" fontId="24" fillId="0" borderId="1" xfId="1" applyFont="1" applyBorder="1" applyAlignment="1">
      <alignment horizontal="center"/>
    </xf>
    <xf numFmtId="0" fontId="24" fillId="0" borderId="7" xfId="1" applyFont="1" applyBorder="1" applyAlignment="1">
      <alignment horizontal="center"/>
    </xf>
    <xf numFmtId="49" fontId="5" fillId="0" borderId="6" xfId="1" applyNumberFormat="1" applyFont="1" applyBorder="1" applyAlignment="1">
      <alignment horizontal="center"/>
    </xf>
    <xf numFmtId="4" fontId="5" fillId="0" borderId="6" xfId="1" applyNumberFormat="1" applyFont="1" applyBorder="1" applyAlignment="1">
      <alignment horizontal="right"/>
    </xf>
    <xf numFmtId="10" fontId="24" fillId="0" borderId="6" xfId="1" applyNumberFormat="1" applyFont="1" applyBorder="1"/>
    <xf numFmtId="0" fontId="5" fillId="0" borderId="8" xfId="1" applyFont="1" applyBorder="1"/>
    <xf numFmtId="49" fontId="5" fillId="0" borderId="7" xfId="1" applyNumberFormat="1" applyFont="1" applyBorder="1" applyAlignment="1">
      <alignment horizontal="center"/>
    </xf>
    <xf numFmtId="0" fontId="5" fillId="0" borderId="7" xfId="1" applyFont="1" applyBorder="1"/>
    <xf numFmtId="4" fontId="5" fillId="0" borderId="7" xfId="1" applyNumberFormat="1" applyFont="1" applyBorder="1"/>
    <xf numFmtId="10" fontId="24" fillId="0" borderId="7" xfId="1" applyNumberFormat="1" applyFont="1" applyBorder="1"/>
    <xf numFmtId="49" fontId="5" fillId="0" borderId="9" xfId="1" applyNumberFormat="1" applyFont="1" applyBorder="1" applyAlignment="1">
      <alignment horizontal="center"/>
    </xf>
    <xf numFmtId="3" fontId="24" fillId="0" borderId="6" xfId="1" applyNumberFormat="1" applyFont="1" applyBorder="1"/>
    <xf numFmtId="3" fontId="5" fillId="0" borderId="9" xfId="1" applyNumberFormat="1" applyFont="1" applyBorder="1"/>
    <xf numFmtId="4" fontId="5" fillId="0" borderId="9" xfId="1" applyNumberFormat="1" applyFont="1" applyBorder="1"/>
    <xf numFmtId="10" fontId="5" fillId="0" borderId="6" xfId="1" applyNumberFormat="1" applyFont="1" applyBorder="1"/>
    <xf numFmtId="0" fontId="5" fillId="0" borderId="9" xfId="1" applyFont="1" applyBorder="1"/>
    <xf numFmtId="0" fontId="23" fillId="0" borderId="8" xfId="1" applyFont="1" applyBorder="1" applyAlignment="1">
      <alignment horizontal="center"/>
    </xf>
    <xf numFmtId="4" fontId="23" fillId="0" borderId="6" xfId="1" applyNumberFormat="1" applyFont="1" applyBorder="1"/>
    <xf numFmtId="10" fontId="35" fillId="0" borderId="6" xfId="1" applyNumberFormat="1" applyFont="1" applyBorder="1"/>
    <xf numFmtId="0" fontId="4" fillId="0" borderId="10" xfId="1" applyFont="1" applyBorder="1"/>
    <xf numFmtId="0" fontId="4" fillId="0" borderId="11" xfId="1" applyFont="1" applyBorder="1"/>
    <xf numFmtId="4" fontId="4" fillId="0" borderId="7" xfId="1" applyNumberFormat="1" applyFont="1" applyBorder="1"/>
    <xf numFmtId="0" fontId="24" fillId="0" borderId="7" xfId="1" applyFont="1" applyBorder="1"/>
    <xf numFmtId="0" fontId="4" fillId="0" borderId="7" xfId="1" applyFont="1" applyBorder="1"/>
    <xf numFmtId="0" fontId="14" fillId="0" borderId="4" xfId="1" applyFont="1" applyBorder="1" applyAlignment="1">
      <alignment horizontal="center" vertical="center"/>
    </xf>
    <xf numFmtId="0" fontId="16" fillId="0" borderId="12" xfId="1" applyFont="1" applyBorder="1" applyAlignment="1">
      <alignment horizontal="center" vertical="center"/>
    </xf>
    <xf numFmtId="0" fontId="16" fillId="0" borderId="4" xfId="1" applyFont="1" applyBorder="1" applyAlignment="1">
      <alignment horizontal="center" vertical="center"/>
    </xf>
    <xf numFmtId="0" fontId="16" fillId="0" borderId="3" xfId="1" applyFont="1" applyBorder="1" applyAlignment="1">
      <alignment horizontal="center" vertical="center"/>
    </xf>
    <xf numFmtId="0" fontId="18" fillId="0" borderId="5" xfId="1" applyFont="1" applyBorder="1" applyAlignment="1">
      <alignment horizontal="center" vertical="center"/>
    </xf>
    <xf numFmtId="3" fontId="17" fillId="0" borderId="2" xfId="1" applyNumberFormat="1" applyFont="1" applyBorder="1" applyAlignment="1">
      <alignment horizontal="center" vertical="center"/>
    </xf>
    <xf numFmtId="0" fontId="17" fillId="0" borderId="2" xfId="1" applyFont="1" applyBorder="1"/>
    <xf numFmtId="0" fontId="17" fillId="0" borderId="2" xfId="1" applyFont="1" applyBorder="1" applyAlignment="1">
      <alignment horizontal="center"/>
    </xf>
    <xf numFmtId="0" fontId="17" fillId="0" borderId="3" xfId="1" applyFont="1" applyBorder="1" applyAlignment="1">
      <alignment horizontal="centerContinuous"/>
    </xf>
    <xf numFmtId="0" fontId="17" fillId="0" borderId="4" xfId="1" applyFont="1" applyBorder="1" applyAlignment="1">
      <alignment horizontal="centerContinuous"/>
    </xf>
    <xf numFmtId="0" fontId="17" fillId="0" borderId="5" xfId="1" applyFont="1" applyBorder="1" applyAlignment="1">
      <alignment horizontal="centerContinuous"/>
    </xf>
    <xf numFmtId="20" fontId="17" fillId="0" borderId="9" xfId="1" applyNumberFormat="1" applyFont="1" applyBorder="1" applyAlignment="1">
      <alignment horizontal="center"/>
    </xf>
    <xf numFmtId="20" fontId="17" fillId="0" borderId="4" xfId="1" applyNumberFormat="1" applyFont="1" applyBorder="1" applyAlignment="1">
      <alignment horizontal="center"/>
    </xf>
    <xf numFmtId="20" fontId="17" fillId="0" borderId="5" xfId="1" applyNumberFormat="1" applyFont="1" applyBorder="1" applyAlignment="1">
      <alignment horizontal="center"/>
    </xf>
    <xf numFmtId="20" fontId="17" fillId="0" borderId="6" xfId="1" applyNumberFormat="1" applyFont="1" applyBorder="1" applyAlignment="1">
      <alignment horizontal="center"/>
    </xf>
    <xf numFmtId="20" fontId="24" fillId="0" borderId="2" xfId="1" applyNumberFormat="1" applyFont="1" applyBorder="1" applyAlignment="1">
      <alignment horizontal="center"/>
    </xf>
    <xf numFmtId="20" fontId="24" fillId="0" borderId="8" xfId="1" applyNumberFormat="1" applyFont="1" applyBorder="1" applyAlignment="1">
      <alignment horizontal="center"/>
    </xf>
    <xf numFmtId="20" fontId="24" fillId="0" borderId="6" xfId="1" applyNumberFormat="1" applyFont="1" applyBorder="1" applyAlignment="1">
      <alignment horizontal="center"/>
    </xf>
    <xf numFmtId="0" fontId="24" fillId="0" borderId="12" xfId="1" applyFont="1" applyBorder="1" applyAlignment="1">
      <alignment horizontal="center"/>
    </xf>
    <xf numFmtId="0" fontId="18" fillId="0" borderId="3" xfId="1" applyFont="1" applyBorder="1" applyAlignment="1">
      <alignment horizontal="centerContinuous" vertical="center"/>
    </xf>
    <xf numFmtId="0" fontId="17" fillId="0" borderId="4" xfId="1" applyFont="1" applyBorder="1" applyAlignment="1">
      <alignment horizontal="centerContinuous" vertical="center"/>
    </xf>
    <xf numFmtId="0" fontId="18" fillId="0" borderId="4" xfId="1" applyFont="1" applyBorder="1" applyAlignment="1">
      <alignment horizontal="centerContinuous" vertical="center"/>
    </xf>
    <xf numFmtId="0" fontId="17" fillId="0" borderId="5" xfId="1" applyFont="1" applyBorder="1" applyAlignment="1">
      <alignment horizontal="centerContinuous" vertical="center"/>
    </xf>
    <xf numFmtId="0" fontId="18" fillId="0" borderId="16" xfId="1" applyFont="1" applyBorder="1"/>
    <xf numFmtId="0" fontId="17" fillId="0" borderId="12" xfId="1" applyFont="1" applyBorder="1"/>
    <xf numFmtId="4" fontId="17" fillId="0" borderId="6" xfId="1" applyNumberFormat="1" applyFont="1" applyBorder="1" applyAlignment="1">
      <alignment horizontal="center"/>
    </xf>
    <xf numFmtId="4" fontId="17" fillId="0" borderId="25" xfId="1" applyNumberFormat="1" applyFont="1" applyBorder="1" applyAlignment="1">
      <alignment horizontal="right"/>
    </xf>
    <xf numFmtId="0" fontId="18" fillId="0" borderId="2" xfId="1" applyFont="1" applyBorder="1" applyAlignment="1">
      <alignment horizontal="center"/>
    </xf>
    <xf numFmtId="3" fontId="17" fillId="0" borderId="9" xfId="1" applyNumberFormat="1" applyFont="1" applyBorder="1"/>
    <xf numFmtId="3" fontId="17" fillId="0" borderId="10" xfId="1" applyNumberFormat="1" applyFont="1" applyBorder="1"/>
    <xf numFmtId="49" fontId="17" fillId="0" borderId="6" xfId="1" applyNumberFormat="1" applyFont="1" applyBorder="1" applyAlignment="1">
      <alignment horizontal="center" vertical="top"/>
    </xf>
    <xf numFmtId="0" fontId="17" fillId="0" borderId="6" xfId="1" applyFont="1" applyBorder="1" applyAlignment="1">
      <alignment horizontal="left"/>
    </xf>
    <xf numFmtId="0" fontId="18" fillId="0" borderId="7" xfId="1" applyFont="1" applyBorder="1" applyAlignment="1">
      <alignment horizontal="center"/>
    </xf>
    <xf numFmtId="49" fontId="17" fillId="0" borderId="2" xfId="1" applyNumberFormat="1" applyFont="1" applyBorder="1" applyAlignment="1">
      <alignment horizontal="center"/>
    </xf>
    <xf numFmtId="3" fontId="18" fillId="0" borderId="4" xfId="1" applyNumberFormat="1" applyFont="1" applyBorder="1" applyAlignment="1">
      <alignment horizontal="centerContinuous" vertical="center"/>
    </xf>
    <xf numFmtId="0" fontId="17" fillId="0" borderId="10" xfId="1" applyFont="1" applyBorder="1" applyAlignment="1">
      <alignment horizontal="center"/>
    </xf>
    <xf numFmtId="0" fontId="17" fillId="0" borderId="13" xfId="1" applyFont="1" applyBorder="1" applyAlignment="1">
      <alignment horizontal="center"/>
    </xf>
    <xf numFmtId="3" fontId="17" fillId="0" borderId="13" xfId="1" applyNumberFormat="1" applyFont="1" applyBorder="1"/>
    <xf numFmtId="0" fontId="17" fillId="0" borderId="9" xfId="1" applyFont="1" applyBorder="1" applyAlignment="1">
      <alignment horizontal="center"/>
    </xf>
    <xf numFmtId="3" fontId="17" fillId="0" borderId="7" xfId="1" applyNumberFormat="1" applyFont="1" applyBorder="1"/>
    <xf numFmtId="49" fontId="18" fillId="0" borderId="10" xfId="1" applyNumberFormat="1" applyFont="1" applyBorder="1" applyAlignment="1">
      <alignment horizontal="centerContinuous" vertical="center"/>
    </xf>
    <xf numFmtId="0" fontId="18" fillId="0" borderId="1" xfId="1" applyFont="1" applyBorder="1" applyAlignment="1">
      <alignment horizontal="centerContinuous"/>
    </xf>
    <xf numFmtId="0" fontId="18" fillId="0" borderId="11" xfId="1" applyFont="1" applyBorder="1" applyAlignment="1">
      <alignment horizontal="centerContinuous"/>
    </xf>
    <xf numFmtId="3" fontId="18" fillId="0" borderId="7" xfId="1" applyNumberFormat="1" applyFont="1" applyBorder="1" applyAlignment="1">
      <alignment horizontal="centerContinuous"/>
    </xf>
    <xf numFmtId="0" fontId="17" fillId="0" borderId="6" xfId="1" applyFont="1" applyBorder="1" applyAlignment="1">
      <alignment horizontal="center" vertical="top"/>
    </xf>
    <xf numFmtId="0" fontId="17" fillId="0" borderId="25" xfId="1" applyFont="1" applyBorder="1"/>
    <xf numFmtId="0" fontId="18" fillId="0" borderId="2" xfId="1" applyFont="1" applyBorder="1"/>
    <xf numFmtId="0" fontId="18" fillId="0" borderId="10" xfId="1" applyFont="1" applyBorder="1" applyAlignment="1">
      <alignment vertical="center"/>
    </xf>
    <xf numFmtId="0" fontId="18" fillId="0" borderId="1" xfId="1" applyFont="1" applyBorder="1" applyAlignment="1">
      <alignment vertical="center"/>
    </xf>
    <xf numFmtId="0" fontId="18" fillId="0" borderId="11" xfId="1" applyFont="1" applyBorder="1" applyAlignment="1">
      <alignment horizontal="center" vertical="center"/>
    </xf>
    <xf numFmtId="4" fontId="18" fillId="0" borderId="7" xfId="1" applyNumberFormat="1" applyFont="1" applyBorder="1" applyAlignment="1">
      <alignment vertical="center"/>
    </xf>
    <xf numFmtId="0" fontId="18" fillId="0" borderId="12" xfId="3" applyFont="1" applyBorder="1" applyAlignment="1">
      <alignment horizontal="center" vertical="center" wrapText="1"/>
    </xf>
    <xf numFmtId="1" fontId="42" fillId="0" borderId="12" xfId="3" applyNumberFormat="1" applyFont="1" applyBorder="1" applyAlignment="1">
      <alignment horizontal="center" vertical="center" wrapText="1"/>
    </xf>
    <xf numFmtId="1" fontId="86" fillId="0" borderId="12" xfId="3" applyNumberFormat="1" applyFont="1" applyBorder="1" applyAlignment="1">
      <alignment horizontal="center" vertical="center" wrapText="1"/>
    </xf>
    <xf numFmtId="3" fontId="55" fillId="0" borderId="12" xfId="3" applyNumberFormat="1" applyFont="1" applyBorder="1" applyAlignment="1">
      <alignment horizontal="center" vertical="center" wrapText="1"/>
    </xf>
    <xf numFmtId="3" fontId="24" fillId="0" borderId="7" xfId="3" applyNumberFormat="1" applyFont="1" applyBorder="1" applyAlignment="1">
      <alignment horizontal="center" vertical="center" wrapText="1"/>
    </xf>
    <xf numFmtId="0" fontId="24" fillId="0" borderId="12" xfId="3" applyFont="1" applyBorder="1" applyAlignment="1">
      <alignment horizontal="center" wrapText="1"/>
    </xf>
    <xf numFmtId="0" fontId="24" fillId="0" borderId="12" xfId="3" applyFont="1" applyBorder="1" applyAlignment="1">
      <alignment horizontal="center"/>
    </xf>
    <xf numFmtId="3" fontId="24" fillId="0" borderId="2" xfId="3" applyNumberFormat="1" applyFont="1" applyBorder="1" applyAlignment="1">
      <alignment horizontal="center" vertical="center" wrapText="1"/>
    </xf>
    <xf numFmtId="3" fontId="55" fillId="0" borderId="12" xfId="5" applyNumberFormat="1" applyFont="1" applyBorder="1" applyAlignment="1">
      <alignment horizontal="center" vertical="center" wrapText="1"/>
    </xf>
    <xf numFmtId="4" fontId="35" fillId="0" borderId="12" xfId="3" applyNumberFormat="1" applyFont="1" applyBorder="1" applyAlignment="1">
      <alignment horizontal="center" vertical="center"/>
    </xf>
    <xf numFmtId="1" fontId="87" fillId="0" borderId="12" xfId="6" applyNumberFormat="1" applyFont="1" applyBorder="1" applyAlignment="1">
      <alignment vertical="center" wrapText="1"/>
    </xf>
    <xf numFmtId="0" fontId="35" fillId="0" borderId="12" xfId="3" applyFont="1" applyBorder="1" applyAlignment="1">
      <alignment horizontal="center"/>
    </xf>
    <xf numFmtId="3" fontId="24" fillId="0" borderId="6" xfId="3" applyNumberFormat="1" applyFont="1" applyBorder="1" applyAlignment="1">
      <alignment horizontal="center" vertical="center" wrapText="1"/>
    </xf>
    <xf numFmtId="2" fontId="88" fillId="0" borderId="33" xfId="4" applyNumberFormat="1" applyFont="1" applyFill="1" applyBorder="1" applyAlignment="1">
      <alignment horizontal="center" vertical="center" wrapText="1"/>
    </xf>
    <xf numFmtId="0" fontId="35" fillId="0" borderId="40" xfId="3" applyFont="1" applyBorder="1" applyAlignment="1">
      <alignment horizontal="center" vertical="center"/>
    </xf>
    <xf numFmtId="0" fontId="15" fillId="0" borderId="43" xfId="9" applyFont="1" applyBorder="1" applyAlignment="1">
      <alignment vertical="center"/>
    </xf>
    <xf numFmtId="4" fontId="15" fillId="0" borderId="43" xfId="9" applyNumberFormat="1" applyFont="1" applyBorder="1" applyAlignment="1">
      <alignment horizontal="center" vertical="center"/>
    </xf>
    <xf numFmtId="4" fontId="15" fillId="0" borderId="43" xfId="9" applyNumberFormat="1" applyFont="1" applyBorder="1" applyAlignment="1">
      <alignment vertical="center"/>
    </xf>
    <xf numFmtId="0" fontId="15" fillId="0" borderId="44" xfId="9" applyFont="1" applyBorder="1" applyAlignment="1">
      <alignment vertical="center"/>
    </xf>
    <xf numFmtId="4" fontId="15" fillId="0" borderId="44" xfId="9" applyNumberFormat="1" applyFont="1" applyBorder="1" applyAlignment="1">
      <alignment horizontal="center" vertical="center"/>
    </xf>
    <xf numFmtId="4" fontId="15" fillId="0" borderId="44" xfId="9" applyNumberFormat="1" applyFont="1" applyBorder="1" applyAlignment="1">
      <alignment vertical="center"/>
    </xf>
    <xf numFmtId="4" fontId="1" fillId="0" borderId="49" xfId="0" applyNumberFormat="1" applyFont="1" applyBorder="1" applyAlignment="1">
      <alignment horizontal="center" vertical="center"/>
    </xf>
    <xf numFmtId="4" fontId="1" fillId="0" borderId="50" xfId="0" applyNumberFormat="1" applyFont="1" applyBorder="1" applyAlignment="1">
      <alignment horizontal="center" vertical="center"/>
    </xf>
    <xf numFmtId="4" fontId="1" fillId="0" borderId="53" xfId="0" applyNumberFormat="1" applyFont="1" applyBorder="1" applyAlignment="1">
      <alignment horizontal="center"/>
    </xf>
    <xf numFmtId="4" fontId="1" fillId="0" borderId="54" xfId="0" applyNumberFormat="1" applyFont="1" applyBorder="1" applyAlignment="1">
      <alignment horizontal="center"/>
    </xf>
    <xf numFmtId="0" fontId="15" fillId="0" borderId="6" xfId="9" applyFont="1" applyBorder="1"/>
    <xf numFmtId="0" fontId="1" fillId="0" borderId="49" xfId="0" applyFont="1" applyBorder="1" applyAlignment="1">
      <alignment horizontal="center" vertical="center"/>
    </xf>
    <xf numFmtId="0" fontId="1" fillId="0" borderId="53" xfId="0" applyFont="1" applyBorder="1" applyAlignment="1">
      <alignment horizontal="center"/>
    </xf>
    <xf numFmtId="0" fontId="15" fillId="0" borderId="55" xfId="9" applyFont="1" applyBorder="1"/>
    <xf numFmtId="0" fontId="15" fillId="0" borderId="44" xfId="9" applyFont="1" applyBorder="1" applyAlignment="1">
      <alignment wrapText="1"/>
    </xf>
    <xf numFmtId="0" fontId="72" fillId="0" borderId="10" xfId="11" applyFont="1" applyBorder="1" applyAlignment="1">
      <alignment horizontal="center" vertical="center"/>
    </xf>
    <xf numFmtId="0" fontId="72" fillId="0" borderId="1" xfId="11" applyFont="1" applyBorder="1" applyAlignment="1">
      <alignment horizontal="center" vertical="center"/>
    </xf>
    <xf numFmtId="0" fontId="72" fillId="0" borderId="11" xfId="11" applyFont="1" applyBorder="1" applyAlignment="1">
      <alignment horizontal="center" vertical="center"/>
    </xf>
    <xf numFmtId="4" fontId="72" fillId="0" borderId="7" xfId="11" applyNumberFormat="1" applyFont="1" applyBorder="1" applyAlignment="1">
      <alignment vertical="center"/>
    </xf>
    <xf numFmtId="0" fontId="63" fillId="0" borderId="4" xfId="11" applyFont="1" applyBorder="1" applyAlignment="1">
      <alignment horizontal="centerContinuous" vertical="center"/>
    </xf>
    <xf numFmtId="0" fontId="63" fillId="0" borderId="5" xfId="11" applyFont="1" applyBorder="1" applyAlignment="1">
      <alignment horizontal="centerContinuous" vertical="center"/>
    </xf>
    <xf numFmtId="49" fontId="17" fillId="0" borderId="16" xfId="1" applyNumberFormat="1" applyFont="1" applyBorder="1" applyAlignment="1">
      <alignment horizontal="center"/>
    </xf>
    <xf numFmtId="49" fontId="18" fillId="0" borderId="6" xfId="1" applyNumberFormat="1" applyFont="1" applyBorder="1" applyAlignment="1">
      <alignment horizontal="right"/>
    </xf>
    <xf numFmtId="0" fontId="18" fillId="0" borderId="16" xfId="1" applyFont="1" applyBorder="1" applyAlignment="1">
      <alignment horizontal="center"/>
    </xf>
    <xf numFmtId="49" fontId="18" fillId="0" borderId="16" xfId="1" applyNumberFormat="1" applyFont="1" applyBorder="1" applyAlignment="1">
      <alignment horizontal="right"/>
    </xf>
    <xf numFmtId="0" fontId="17" fillId="0" borderId="17" xfId="1" applyFont="1" applyBorder="1" applyAlignment="1">
      <alignment horizontal="center"/>
    </xf>
    <xf numFmtId="49" fontId="17" fillId="0" borderId="17" xfId="1" applyNumberFormat="1" applyFont="1" applyBorder="1" applyAlignment="1">
      <alignment horizontal="right"/>
    </xf>
    <xf numFmtId="0" fontId="17" fillId="0" borderId="26" xfId="1" applyFont="1" applyBorder="1" applyAlignment="1">
      <alignment horizontal="center"/>
    </xf>
    <xf numFmtId="49" fontId="17" fillId="0" borderId="26" xfId="1" applyNumberFormat="1" applyFont="1" applyBorder="1" applyAlignment="1">
      <alignment horizontal="center"/>
    </xf>
    <xf numFmtId="0" fontId="17" fillId="0" borderId="26" xfId="1" applyFont="1" applyBorder="1"/>
    <xf numFmtId="49" fontId="17" fillId="0" borderId="0" xfId="1" applyNumberFormat="1" applyFont="1" applyAlignment="1">
      <alignment horizontal="center"/>
    </xf>
    <xf numFmtId="0" fontId="18" fillId="0" borderId="0" xfId="1" applyFont="1" applyAlignment="1">
      <alignment horizontal="center"/>
    </xf>
    <xf numFmtId="0" fontId="17" fillId="0" borderId="1" xfId="1" applyFont="1" applyBorder="1" applyAlignment="1">
      <alignment horizontal="center"/>
    </xf>
    <xf numFmtId="49" fontId="17" fillId="0" borderId="1" xfId="1" applyNumberFormat="1" applyFont="1" applyBorder="1" applyAlignment="1">
      <alignment horizontal="center"/>
    </xf>
    <xf numFmtId="0" fontId="17" fillId="0" borderId="1" xfId="1" applyFont="1" applyBorder="1"/>
    <xf numFmtId="37" fontId="17" fillId="0" borderId="0" xfId="1" applyNumberFormat="1" applyFont="1"/>
    <xf numFmtId="0" fontId="5" fillId="0" borderId="3" xfId="12" applyFont="1" applyBorder="1" applyAlignment="1">
      <alignment horizontal="left"/>
    </xf>
    <xf numFmtId="0" fontId="5" fillId="0" borderId="4" xfId="12" applyFont="1" applyBorder="1" applyAlignment="1">
      <alignment horizontal="centerContinuous"/>
    </xf>
    <xf numFmtId="0" fontId="5" fillId="0" borderId="4" xfId="12" applyFont="1" applyBorder="1" applyAlignment="1">
      <alignment horizontal="center" vertical="top"/>
    </xf>
    <xf numFmtId="0" fontId="5" fillId="0" borderId="4" xfId="12" applyFont="1" applyBorder="1" applyAlignment="1">
      <alignment horizontal="center"/>
    </xf>
    <xf numFmtId="4" fontId="5" fillId="0" borderId="12" xfId="12" applyNumberFormat="1" applyFont="1" applyBorder="1"/>
    <xf numFmtId="0" fontId="6" fillId="0" borderId="4" xfId="12" applyFont="1" applyBorder="1" applyAlignment="1">
      <alignment horizontal="centerContinuous" vertical="center"/>
    </xf>
    <xf numFmtId="0" fontId="6" fillId="0" borderId="4" xfId="12" applyFont="1" applyBorder="1" applyAlignment="1">
      <alignment horizontal="center" vertical="top"/>
    </xf>
    <xf numFmtId="0" fontId="23" fillId="0" borderId="4" xfId="12" applyFont="1" applyBorder="1" applyAlignment="1">
      <alignment horizontal="center" vertical="center"/>
    </xf>
    <xf numFmtId="4" fontId="23" fillId="0" borderId="12" xfId="12" applyNumberFormat="1" applyFont="1" applyBorder="1" applyAlignment="1">
      <alignment vertical="center"/>
    </xf>
    <xf numFmtId="0" fontId="47" fillId="0" borderId="52" xfId="13" applyFont="1" applyBorder="1" applyAlignment="1">
      <alignment vertical="center" wrapText="1"/>
    </xf>
    <xf numFmtId="3" fontId="1" fillId="0" borderId="52" xfId="13" applyNumberFormat="1" applyFont="1" applyBorder="1" applyAlignment="1">
      <alignment vertical="center"/>
    </xf>
    <xf numFmtId="0" fontId="1" fillId="0" borderId="6" xfId="13" applyFont="1" applyBorder="1" applyAlignment="1">
      <alignment horizontal="center" vertical="center"/>
    </xf>
    <xf numFmtId="4" fontId="1" fillId="0" borderId="2" xfId="13" applyNumberFormat="1" applyFont="1" applyBorder="1" applyAlignment="1">
      <alignment vertical="center"/>
    </xf>
    <xf numFmtId="4" fontId="1" fillId="0" borderId="6" xfId="13" applyNumberFormat="1" applyFont="1" applyBorder="1" applyAlignment="1">
      <alignment vertical="center"/>
    </xf>
    <xf numFmtId="0" fontId="1" fillId="0" borderId="7" xfId="13" applyFont="1" applyBorder="1" applyAlignment="1">
      <alignment horizontal="center" vertical="top"/>
    </xf>
    <xf numFmtId="4" fontId="1" fillId="0" borderId="7" xfId="13" applyNumberFormat="1" applyFont="1" applyBorder="1" applyAlignment="1">
      <alignment vertical="top"/>
    </xf>
    <xf numFmtId="0" fontId="1" fillId="0" borderId="4" xfId="13" applyFont="1" applyBorder="1" applyAlignment="1">
      <alignment horizontal="center" vertical="top"/>
    </xf>
    <xf numFmtId="0" fontId="89" fillId="0" borderId="3" xfId="13" applyFont="1" applyBorder="1" applyAlignment="1">
      <alignment horizontal="center"/>
    </xf>
    <xf numFmtId="4" fontId="45" fillId="0" borderId="3" xfId="13" applyNumberFormat="1" applyFont="1" applyBorder="1" applyAlignment="1">
      <alignment vertical="top"/>
    </xf>
    <xf numFmtId="4" fontId="45" fillId="0" borderId="12" xfId="13" applyNumberFormat="1" applyFont="1" applyBorder="1" applyAlignment="1">
      <alignment vertical="top"/>
    </xf>
    <xf numFmtId="0" fontId="1" fillId="0" borderId="0" xfId="13" applyFont="1" applyAlignment="1">
      <alignment horizontal="center" vertical="center"/>
    </xf>
    <xf numFmtId="4" fontId="1" fillId="0" borderId="0" xfId="13" applyNumberFormat="1" applyFont="1" applyAlignment="1">
      <alignment vertical="center"/>
    </xf>
    <xf numFmtId="0" fontId="47" fillId="0" borderId="12" xfId="13" applyFont="1" applyBorder="1" applyAlignment="1">
      <alignment vertical="center" wrapText="1"/>
    </xf>
    <xf numFmtId="3" fontId="1" fillId="0" borderId="12" xfId="13" applyNumberFormat="1" applyFont="1" applyBorder="1" applyAlignment="1">
      <alignment vertical="center"/>
    </xf>
    <xf numFmtId="0" fontId="1" fillId="0" borderId="2" xfId="13" applyFont="1" applyBorder="1" applyAlignment="1">
      <alignment horizontal="center" vertical="center"/>
    </xf>
    <xf numFmtId="4" fontId="1" fillId="0" borderId="6" xfId="13" applyNumberFormat="1" applyFont="1" applyBorder="1" applyAlignment="1">
      <alignment vertical="top"/>
    </xf>
    <xf numFmtId="4" fontId="1" fillId="0" borderId="6" xfId="13" applyNumberFormat="1" applyFont="1" applyBorder="1" applyAlignment="1">
      <alignment horizontal="right" vertical="center"/>
    </xf>
    <xf numFmtId="0" fontId="1" fillId="0" borderId="6" xfId="13" applyFont="1" applyBorder="1" applyAlignment="1">
      <alignment horizontal="center" vertical="top"/>
    </xf>
    <xf numFmtId="4" fontId="1" fillId="0" borderId="6" xfId="13" applyNumberFormat="1" applyFont="1" applyBorder="1"/>
    <xf numFmtId="0" fontId="1" fillId="0" borderId="12" xfId="13" applyFont="1" applyBorder="1" applyAlignment="1">
      <alignment vertical="center"/>
    </xf>
    <xf numFmtId="4" fontId="1" fillId="0" borderId="12" xfId="13" applyNumberFormat="1" applyFont="1" applyBorder="1" applyAlignment="1">
      <alignment vertical="center"/>
    </xf>
    <xf numFmtId="0" fontId="1" fillId="0" borderId="6" xfId="13" applyFont="1" applyBorder="1" applyAlignment="1">
      <alignment vertical="top"/>
    </xf>
    <xf numFmtId="0" fontId="1" fillId="0" borderId="7" xfId="13" applyFont="1" applyBorder="1" applyAlignment="1">
      <alignment vertical="top"/>
    </xf>
    <xf numFmtId="0" fontId="1" fillId="0" borderId="7" xfId="13" applyFont="1" applyBorder="1" applyAlignment="1">
      <alignment horizontal="center" vertical="center"/>
    </xf>
    <xf numFmtId="4" fontId="1" fillId="0" borderId="7" xfId="13" applyNumberFormat="1" applyFont="1" applyBorder="1" applyAlignment="1">
      <alignment vertical="center"/>
    </xf>
    <xf numFmtId="4" fontId="1" fillId="0" borderId="7" xfId="13" applyNumberFormat="1" applyFont="1" applyBorder="1" applyAlignment="1">
      <alignment horizontal="right" vertical="center"/>
    </xf>
    <xf numFmtId="0" fontId="1" fillId="0" borderId="10" xfId="13" applyFont="1" applyBorder="1" applyAlignment="1">
      <alignment vertical="top"/>
    </xf>
    <xf numFmtId="0" fontId="1" fillId="0" borderId="3" xfId="13" applyFont="1" applyBorder="1"/>
    <xf numFmtId="0" fontId="1" fillId="0" borderId="12" xfId="13" applyFont="1" applyBorder="1"/>
  </cellXfs>
  <cellStyles count="14">
    <cellStyle name="Dziesiętny" xfId="7" builtinId="3"/>
    <cellStyle name="Dziesiętny 2" xfId="2" xr:uid="{3D2E3C3C-2623-4BE1-8639-11063B7E64E4}"/>
    <cellStyle name="Dziesiętny 2 2" xfId="4" xr:uid="{8A8F483C-17CE-4F59-809B-876C9CBC6105}"/>
    <cellStyle name="Excel Built-in Normal" xfId="5" xr:uid="{7C546076-7A8F-4355-8D19-90E25AE98BC9}"/>
    <cellStyle name="Normalny" xfId="0" builtinId="0"/>
    <cellStyle name="Normalny 2" xfId="1" xr:uid="{A3B75BFE-0536-4EBF-A2FC-4106D43B2D7A}"/>
    <cellStyle name="Normalny 2 2" xfId="3" xr:uid="{554E52C7-FA56-46B8-9E36-D92A36235630}"/>
    <cellStyle name="Normalny 2 2 2" xfId="6" xr:uid="{F7373F07-BC8A-4229-9BA1-928C2D926BEF}"/>
    <cellStyle name="Normalny 2 3" xfId="11" xr:uid="{583B1E3C-823B-4AC7-9991-C8C3FCE674FF}"/>
    <cellStyle name="Normalny 2 4" xfId="13" xr:uid="{A7D34BAC-9901-45CD-ABFA-3C1FBCB85B37}"/>
    <cellStyle name="Normalny 3" xfId="10" xr:uid="{4286ABD8-4003-42F8-B22D-48356040EB05}"/>
    <cellStyle name="Normalny 3 2" xfId="12" xr:uid="{85071771-9C47-45B1-A45F-3D7067685260}"/>
    <cellStyle name="Normalny_zal_Szczecin" xfId="9" xr:uid="{A4165D72-DE6B-41E8-9477-4E3AE853442E}"/>
    <cellStyle name="Zły" xfId="8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00E3B4-BE2D-49D4-ABF9-5FE8E67F6419}">
  <dimension ref="A1:N120"/>
  <sheetViews>
    <sheetView zoomScale="140" zoomScaleNormal="140" workbookViewId="0">
      <selection activeCell="A11" sqref="A11:N45"/>
    </sheetView>
  </sheetViews>
  <sheetFormatPr defaultRowHeight="12.75" x14ac:dyDescent="0.2"/>
  <cols>
    <col min="1" max="1" width="4.140625" style="1" customWidth="1"/>
    <col min="2" max="2" width="38.42578125" style="1" customWidth="1"/>
    <col min="3" max="3" width="14.28515625" style="1" customWidth="1"/>
    <col min="4" max="4" width="6.7109375" style="1" customWidth="1"/>
    <col min="5" max="5" width="14.7109375" style="1" customWidth="1"/>
    <col min="6" max="6" width="6.7109375" style="1" customWidth="1"/>
    <col min="7" max="7" width="13.5703125" style="1" customWidth="1"/>
    <col min="8" max="8" width="8.5703125" style="1" customWidth="1"/>
    <col min="9" max="9" width="14.42578125" style="1" customWidth="1"/>
    <col min="10" max="10" width="6.42578125" style="1" customWidth="1"/>
    <col min="11" max="11" width="14.28515625" style="1" customWidth="1"/>
    <col min="12" max="12" width="6.5703125" style="1" customWidth="1"/>
    <col min="13" max="13" width="13.140625" style="1" customWidth="1"/>
    <col min="14" max="14" width="8.42578125" style="1" customWidth="1"/>
    <col min="15" max="256" width="9.140625" style="1"/>
    <col min="257" max="257" width="4.140625" style="1" customWidth="1"/>
    <col min="258" max="258" width="38.42578125" style="1" customWidth="1"/>
    <col min="259" max="259" width="14.28515625" style="1" customWidth="1"/>
    <col min="260" max="260" width="6.7109375" style="1" customWidth="1"/>
    <col min="261" max="261" width="14.7109375" style="1" customWidth="1"/>
    <col min="262" max="262" width="6.7109375" style="1" customWidth="1"/>
    <col min="263" max="263" width="13.5703125" style="1" customWidth="1"/>
    <col min="264" max="264" width="8.5703125" style="1" customWidth="1"/>
    <col min="265" max="265" width="14.42578125" style="1" customWidth="1"/>
    <col min="266" max="266" width="6.42578125" style="1" customWidth="1"/>
    <col min="267" max="267" width="14.28515625" style="1" customWidth="1"/>
    <col min="268" max="268" width="6.5703125" style="1" customWidth="1"/>
    <col min="269" max="269" width="13.140625" style="1" customWidth="1"/>
    <col min="270" max="270" width="8.42578125" style="1" customWidth="1"/>
    <col min="271" max="512" width="9.140625" style="1"/>
    <col min="513" max="513" width="4.140625" style="1" customWidth="1"/>
    <col min="514" max="514" width="38.42578125" style="1" customWidth="1"/>
    <col min="515" max="515" width="14.28515625" style="1" customWidth="1"/>
    <col min="516" max="516" width="6.7109375" style="1" customWidth="1"/>
    <col min="517" max="517" width="14.7109375" style="1" customWidth="1"/>
    <col min="518" max="518" width="6.7109375" style="1" customWidth="1"/>
    <col min="519" max="519" width="13.5703125" style="1" customWidth="1"/>
    <col min="520" max="520" width="8.5703125" style="1" customWidth="1"/>
    <col min="521" max="521" width="14.42578125" style="1" customWidth="1"/>
    <col min="522" max="522" width="6.42578125" style="1" customWidth="1"/>
    <col min="523" max="523" width="14.28515625" style="1" customWidth="1"/>
    <col min="524" max="524" width="6.5703125" style="1" customWidth="1"/>
    <col min="525" max="525" width="13.140625" style="1" customWidth="1"/>
    <col min="526" max="526" width="8.42578125" style="1" customWidth="1"/>
    <col min="527" max="768" width="9.140625" style="1"/>
    <col min="769" max="769" width="4.140625" style="1" customWidth="1"/>
    <col min="770" max="770" width="38.42578125" style="1" customWidth="1"/>
    <col min="771" max="771" width="14.28515625" style="1" customWidth="1"/>
    <col min="772" max="772" width="6.7109375" style="1" customWidth="1"/>
    <col min="773" max="773" width="14.7109375" style="1" customWidth="1"/>
    <col min="774" max="774" width="6.7109375" style="1" customWidth="1"/>
    <col min="775" max="775" width="13.5703125" style="1" customWidth="1"/>
    <col min="776" max="776" width="8.5703125" style="1" customWidth="1"/>
    <col min="777" max="777" width="14.42578125" style="1" customWidth="1"/>
    <col min="778" max="778" width="6.42578125" style="1" customWidth="1"/>
    <col min="779" max="779" width="14.28515625" style="1" customWidth="1"/>
    <col min="780" max="780" width="6.5703125" style="1" customWidth="1"/>
    <col min="781" max="781" width="13.140625" style="1" customWidth="1"/>
    <col min="782" max="782" width="8.42578125" style="1" customWidth="1"/>
    <col min="783" max="1024" width="9.140625" style="1"/>
    <col min="1025" max="1025" width="4.140625" style="1" customWidth="1"/>
    <col min="1026" max="1026" width="38.42578125" style="1" customWidth="1"/>
    <col min="1027" max="1027" width="14.28515625" style="1" customWidth="1"/>
    <col min="1028" max="1028" width="6.7109375" style="1" customWidth="1"/>
    <col min="1029" max="1029" width="14.7109375" style="1" customWidth="1"/>
    <col min="1030" max="1030" width="6.7109375" style="1" customWidth="1"/>
    <col min="1031" max="1031" width="13.5703125" style="1" customWidth="1"/>
    <col min="1032" max="1032" width="8.5703125" style="1" customWidth="1"/>
    <col min="1033" max="1033" width="14.42578125" style="1" customWidth="1"/>
    <col min="1034" max="1034" width="6.42578125" style="1" customWidth="1"/>
    <col min="1035" max="1035" width="14.28515625" style="1" customWidth="1"/>
    <col min="1036" max="1036" width="6.5703125" style="1" customWidth="1"/>
    <col min="1037" max="1037" width="13.140625" style="1" customWidth="1"/>
    <col min="1038" max="1038" width="8.42578125" style="1" customWidth="1"/>
    <col min="1039" max="1280" width="9.140625" style="1"/>
    <col min="1281" max="1281" width="4.140625" style="1" customWidth="1"/>
    <col min="1282" max="1282" width="38.42578125" style="1" customWidth="1"/>
    <col min="1283" max="1283" width="14.28515625" style="1" customWidth="1"/>
    <col min="1284" max="1284" width="6.7109375" style="1" customWidth="1"/>
    <col min="1285" max="1285" width="14.7109375" style="1" customWidth="1"/>
    <col min="1286" max="1286" width="6.7109375" style="1" customWidth="1"/>
    <col min="1287" max="1287" width="13.5703125" style="1" customWidth="1"/>
    <col min="1288" max="1288" width="8.5703125" style="1" customWidth="1"/>
    <col min="1289" max="1289" width="14.42578125" style="1" customWidth="1"/>
    <col min="1290" max="1290" width="6.42578125" style="1" customWidth="1"/>
    <col min="1291" max="1291" width="14.28515625" style="1" customWidth="1"/>
    <col min="1292" max="1292" width="6.5703125" style="1" customWidth="1"/>
    <col min="1293" max="1293" width="13.140625" style="1" customWidth="1"/>
    <col min="1294" max="1294" width="8.42578125" style="1" customWidth="1"/>
    <col min="1295" max="1536" width="9.140625" style="1"/>
    <col min="1537" max="1537" width="4.140625" style="1" customWidth="1"/>
    <col min="1538" max="1538" width="38.42578125" style="1" customWidth="1"/>
    <col min="1539" max="1539" width="14.28515625" style="1" customWidth="1"/>
    <col min="1540" max="1540" width="6.7109375" style="1" customWidth="1"/>
    <col min="1541" max="1541" width="14.7109375" style="1" customWidth="1"/>
    <col min="1542" max="1542" width="6.7109375" style="1" customWidth="1"/>
    <col min="1543" max="1543" width="13.5703125" style="1" customWidth="1"/>
    <col min="1544" max="1544" width="8.5703125" style="1" customWidth="1"/>
    <col min="1545" max="1545" width="14.42578125" style="1" customWidth="1"/>
    <col min="1546" max="1546" width="6.42578125" style="1" customWidth="1"/>
    <col min="1547" max="1547" width="14.28515625" style="1" customWidth="1"/>
    <col min="1548" max="1548" width="6.5703125" style="1" customWidth="1"/>
    <col min="1549" max="1549" width="13.140625" style="1" customWidth="1"/>
    <col min="1550" max="1550" width="8.42578125" style="1" customWidth="1"/>
    <col min="1551" max="1792" width="9.140625" style="1"/>
    <col min="1793" max="1793" width="4.140625" style="1" customWidth="1"/>
    <col min="1794" max="1794" width="38.42578125" style="1" customWidth="1"/>
    <col min="1795" max="1795" width="14.28515625" style="1" customWidth="1"/>
    <col min="1796" max="1796" width="6.7109375" style="1" customWidth="1"/>
    <col min="1797" max="1797" width="14.7109375" style="1" customWidth="1"/>
    <col min="1798" max="1798" width="6.7109375" style="1" customWidth="1"/>
    <col min="1799" max="1799" width="13.5703125" style="1" customWidth="1"/>
    <col min="1800" max="1800" width="8.5703125" style="1" customWidth="1"/>
    <col min="1801" max="1801" width="14.42578125" style="1" customWidth="1"/>
    <col min="1802" max="1802" width="6.42578125" style="1" customWidth="1"/>
    <col min="1803" max="1803" width="14.28515625" style="1" customWidth="1"/>
    <col min="1804" max="1804" width="6.5703125" style="1" customWidth="1"/>
    <col min="1805" max="1805" width="13.140625" style="1" customWidth="1"/>
    <col min="1806" max="1806" width="8.42578125" style="1" customWidth="1"/>
    <col min="1807" max="2048" width="9.140625" style="1"/>
    <col min="2049" max="2049" width="4.140625" style="1" customWidth="1"/>
    <col min="2050" max="2050" width="38.42578125" style="1" customWidth="1"/>
    <col min="2051" max="2051" width="14.28515625" style="1" customWidth="1"/>
    <col min="2052" max="2052" width="6.7109375" style="1" customWidth="1"/>
    <col min="2053" max="2053" width="14.7109375" style="1" customWidth="1"/>
    <col min="2054" max="2054" width="6.7109375" style="1" customWidth="1"/>
    <col min="2055" max="2055" width="13.5703125" style="1" customWidth="1"/>
    <col min="2056" max="2056" width="8.5703125" style="1" customWidth="1"/>
    <col min="2057" max="2057" width="14.42578125" style="1" customWidth="1"/>
    <col min="2058" max="2058" width="6.42578125" style="1" customWidth="1"/>
    <col min="2059" max="2059" width="14.28515625" style="1" customWidth="1"/>
    <col min="2060" max="2060" width="6.5703125" style="1" customWidth="1"/>
    <col min="2061" max="2061" width="13.140625" style="1" customWidth="1"/>
    <col min="2062" max="2062" width="8.42578125" style="1" customWidth="1"/>
    <col min="2063" max="2304" width="9.140625" style="1"/>
    <col min="2305" max="2305" width="4.140625" style="1" customWidth="1"/>
    <col min="2306" max="2306" width="38.42578125" style="1" customWidth="1"/>
    <col min="2307" max="2307" width="14.28515625" style="1" customWidth="1"/>
    <col min="2308" max="2308" width="6.7109375" style="1" customWidth="1"/>
    <col min="2309" max="2309" width="14.7109375" style="1" customWidth="1"/>
    <col min="2310" max="2310" width="6.7109375" style="1" customWidth="1"/>
    <col min="2311" max="2311" width="13.5703125" style="1" customWidth="1"/>
    <col min="2312" max="2312" width="8.5703125" style="1" customWidth="1"/>
    <col min="2313" max="2313" width="14.42578125" style="1" customWidth="1"/>
    <col min="2314" max="2314" width="6.42578125" style="1" customWidth="1"/>
    <col min="2315" max="2315" width="14.28515625" style="1" customWidth="1"/>
    <col min="2316" max="2316" width="6.5703125" style="1" customWidth="1"/>
    <col min="2317" max="2317" width="13.140625" style="1" customWidth="1"/>
    <col min="2318" max="2318" width="8.42578125" style="1" customWidth="1"/>
    <col min="2319" max="2560" width="9.140625" style="1"/>
    <col min="2561" max="2561" width="4.140625" style="1" customWidth="1"/>
    <col min="2562" max="2562" width="38.42578125" style="1" customWidth="1"/>
    <col min="2563" max="2563" width="14.28515625" style="1" customWidth="1"/>
    <col min="2564" max="2564" width="6.7109375" style="1" customWidth="1"/>
    <col min="2565" max="2565" width="14.7109375" style="1" customWidth="1"/>
    <col min="2566" max="2566" width="6.7109375" style="1" customWidth="1"/>
    <col min="2567" max="2567" width="13.5703125" style="1" customWidth="1"/>
    <col min="2568" max="2568" width="8.5703125" style="1" customWidth="1"/>
    <col min="2569" max="2569" width="14.42578125" style="1" customWidth="1"/>
    <col min="2570" max="2570" width="6.42578125" style="1" customWidth="1"/>
    <col min="2571" max="2571" width="14.28515625" style="1" customWidth="1"/>
    <col min="2572" max="2572" width="6.5703125" style="1" customWidth="1"/>
    <col min="2573" max="2573" width="13.140625" style="1" customWidth="1"/>
    <col min="2574" max="2574" width="8.42578125" style="1" customWidth="1"/>
    <col min="2575" max="2816" width="9.140625" style="1"/>
    <col min="2817" max="2817" width="4.140625" style="1" customWidth="1"/>
    <col min="2818" max="2818" width="38.42578125" style="1" customWidth="1"/>
    <col min="2819" max="2819" width="14.28515625" style="1" customWidth="1"/>
    <col min="2820" max="2820" width="6.7109375" style="1" customWidth="1"/>
    <col min="2821" max="2821" width="14.7109375" style="1" customWidth="1"/>
    <col min="2822" max="2822" width="6.7109375" style="1" customWidth="1"/>
    <col min="2823" max="2823" width="13.5703125" style="1" customWidth="1"/>
    <col min="2824" max="2824" width="8.5703125" style="1" customWidth="1"/>
    <col min="2825" max="2825" width="14.42578125" style="1" customWidth="1"/>
    <col min="2826" max="2826" width="6.42578125" style="1" customWidth="1"/>
    <col min="2827" max="2827" width="14.28515625" style="1" customWidth="1"/>
    <col min="2828" max="2828" width="6.5703125" style="1" customWidth="1"/>
    <col min="2829" max="2829" width="13.140625" style="1" customWidth="1"/>
    <col min="2830" max="2830" width="8.42578125" style="1" customWidth="1"/>
    <col min="2831" max="3072" width="9.140625" style="1"/>
    <col min="3073" max="3073" width="4.140625" style="1" customWidth="1"/>
    <col min="3074" max="3074" width="38.42578125" style="1" customWidth="1"/>
    <col min="3075" max="3075" width="14.28515625" style="1" customWidth="1"/>
    <col min="3076" max="3076" width="6.7109375" style="1" customWidth="1"/>
    <col min="3077" max="3077" width="14.7109375" style="1" customWidth="1"/>
    <col min="3078" max="3078" width="6.7109375" style="1" customWidth="1"/>
    <col min="3079" max="3079" width="13.5703125" style="1" customWidth="1"/>
    <col min="3080" max="3080" width="8.5703125" style="1" customWidth="1"/>
    <col min="3081" max="3081" width="14.42578125" style="1" customWidth="1"/>
    <col min="3082" max="3082" width="6.42578125" style="1" customWidth="1"/>
    <col min="3083" max="3083" width="14.28515625" style="1" customWidth="1"/>
    <col min="3084" max="3084" width="6.5703125" style="1" customWidth="1"/>
    <col min="3085" max="3085" width="13.140625" style="1" customWidth="1"/>
    <col min="3086" max="3086" width="8.42578125" style="1" customWidth="1"/>
    <col min="3087" max="3328" width="9.140625" style="1"/>
    <col min="3329" max="3329" width="4.140625" style="1" customWidth="1"/>
    <col min="3330" max="3330" width="38.42578125" style="1" customWidth="1"/>
    <col min="3331" max="3331" width="14.28515625" style="1" customWidth="1"/>
    <col min="3332" max="3332" width="6.7109375" style="1" customWidth="1"/>
    <col min="3333" max="3333" width="14.7109375" style="1" customWidth="1"/>
    <col min="3334" max="3334" width="6.7109375" style="1" customWidth="1"/>
    <col min="3335" max="3335" width="13.5703125" style="1" customWidth="1"/>
    <col min="3336" max="3336" width="8.5703125" style="1" customWidth="1"/>
    <col min="3337" max="3337" width="14.42578125" style="1" customWidth="1"/>
    <col min="3338" max="3338" width="6.42578125" style="1" customWidth="1"/>
    <col min="3339" max="3339" width="14.28515625" style="1" customWidth="1"/>
    <col min="3340" max="3340" width="6.5703125" style="1" customWidth="1"/>
    <col min="3341" max="3341" width="13.140625" style="1" customWidth="1"/>
    <col min="3342" max="3342" width="8.42578125" style="1" customWidth="1"/>
    <col min="3343" max="3584" width="9.140625" style="1"/>
    <col min="3585" max="3585" width="4.140625" style="1" customWidth="1"/>
    <col min="3586" max="3586" width="38.42578125" style="1" customWidth="1"/>
    <col min="3587" max="3587" width="14.28515625" style="1" customWidth="1"/>
    <col min="3588" max="3588" width="6.7109375" style="1" customWidth="1"/>
    <col min="3589" max="3589" width="14.7109375" style="1" customWidth="1"/>
    <col min="3590" max="3590" width="6.7109375" style="1" customWidth="1"/>
    <col min="3591" max="3591" width="13.5703125" style="1" customWidth="1"/>
    <col min="3592" max="3592" width="8.5703125" style="1" customWidth="1"/>
    <col min="3593" max="3593" width="14.42578125" style="1" customWidth="1"/>
    <col min="3594" max="3594" width="6.42578125" style="1" customWidth="1"/>
    <col min="3595" max="3595" width="14.28515625" style="1" customWidth="1"/>
    <col min="3596" max="3596" width="6.5703125" style="1" customWidth="1"/>
    <col min="3597" max="3597" width="13.140625" style="1" customWidth="1"/>
    <col min="3598" max="3598" width="8.42578125" style="1" customWidth="1"/>
    <col min="3599" max="3840" width="9.140625" style="1"/>
    <col min="3841" max="3841" width="4.140625" style="1" customWidth="1"/>
    <col min="3842" max="3842" width="38.42578125" style="1" customWidth="1"/>
    <col min="3843" max="3843" width="14.28515625" style="1" customWidth="1"/>
    <col min="3844" max="3844" width="6.7109375" style="1" customWidth="1"/>
    <col min="3845" max="3845" width="14.7109375" style="1" customWidth="1"/>
    <col min="3846" max="3846" width="6.7109375" style="1" customWidth="1"/>
    <col min="3847" max="3847" width="13.5703125" style="1" customWidth="1"/>
    <col min="3848" max="3848" width="8.5703125" style="1" customWidth="1"/>
    <col min="3849" max="3849" width="14.42578125" style="1" customWidth="1"/>
    <col min="3850" max="3850" width="6.42578125" style="1" customWidth="1"/>
    <col min="3851" max="3851" width="14.28515625" style="1" customWidth="1"/>
    <col min="3852" max="3852" width="6.5703125" style="1" customWidth="1"/>
    <col min="3853" max="3853" width="13.140625" style="1" customWidth="1"/>
    <col min="3854" max="3854" width="8.42578125" style="1" customWidth="1"/>
    <col min="3855" max="4096" width="9.140625" style="1"/>
    <col min="4097" max="4097" width="4.140625" style="1" customWidth="1"/>
    <col min="4098" max="4098" width="38.42578125" style="1" customWidth="1"/>
    <col min="4099" max="4099" width="14.28515625" style="1" customWidth="1"/>
    <col min="4100" max="4100" width="6.7109375" style="1" customWidth="1"/>
    <col min="4101" max="4101" width="14.7109375" style="1" customWidth="1"/>
    <col min="4102" max="4102" width="6.7109375" style="1" customWidth="1"/>
    <col min="4103" max="4103" width="13.5703125" style="1" customWidth="1"/>
    <col min="4104" max="4104" width="8.5703125" style="1" customWidth="1"/>
    <col min="4105" max="4105" width="14.42578125" style="1" customWidth="1"/>
    <col min="4106" max="4106" width="6.42578125" style="1" customWidth="1"/>
    <col min="4107" max="4107" width="14.28515625" style="1" customWidth="1"/>
    <col min="4108" max="4108" width="6.5703125" style="1" customWidth="1"/>
    <col min="4109" max="4109" width="13.140625" style="1" customWidth="1"/>
    <col min="4110" max="4110" width="8.42578125" style="1" customWidth="1"/>
    <col min="4111" max="4352" width="9.140625" style="1"/>
    <col min="4353" max="4353" width="4.140625" style="1" customWidth="1"/>
    <col min="4354" max="4354" width="38.42578125" style="1" customWidth="1"/>
    <col min="4355" max="4355" width="14.28515625" style="1" customWidth="1"/>
    <col min="4356" max="4356" width="6.7109375" style="1" customWidth="1"/>
    <col min="4357" max="4357" width="14.7109375" style="1" customWidth="1"/>
    <col min="4358" max="4358" width="6.7109375" style="1" customWidth="1"/>
    <col min="4359" max="4359" width="13.5703125" style="1" customWidth="1"/>
    <col min="4360" max="4360" width="8.5703125" style="1" customWidth="1"/>
    <col min="4361" max="4361" width="14.42578125" style="1" customWidth="1"/>
    <col min="4362" max="4362" width="6.42578125" style="1" customWidth="1"/>
    <col min="4363" max="4363" width="14.28515625" style="1" customWidth="1"/>
    <col min="4364" max="4364" width="6.5703125" style="1" customWidth="1"/>
    <col min="4365" max="4365" width="13.140625" style="1" customWidth="1"/>
    <col min="4366" max="4366" width="8.42578125" style="1" customWidth="1"/>
    <col min="4367" max="4608" width="9.140625" style="1"/>
    <col min="4609" max="4609" width="4.140625" style="1" customWidth="1"/>
    <col min="4610" max="4610" width="38.42578125" style="1" customWidth="1"/>
    <col min="4611" max="4611" width="14.28515625" style="1" customWidth="1"/>
    <col min="4612" max="4612" width="6.7109375" style="1" customWidth="1"/>
    <col min="4613" max="4613" width="14.7109375" style="1" customWidth="1"/>
    <col min="4614" max="4614" width="6.7109375" style="1" customWidth="1"/>
    <col min="4615" max="4615" width="13.5703125" style="1" customWidth="1"/>
    <col min="4616" max="4616" width="8.5703125" style="1" customWidth="1"/>
    <col min="4617" max="4617" width="14.42578125" style="1" customWidth="1"/>
    <col min="4618" max="4618" width="6.42578125" style="1" customWidth="1"/>
    <col min="4619" max="4619" width="14.28515625" style="1" customWidth="1"/>
    <col min="4620" max="4620" width="6.5703125" style="1" customWidth="1"/>
    <col min="4621" max="4621" width="13.140625" style="1" customWidth="1"/>
    <col min="4622" max="4622" width="8.42578125" style="1" customWidth="1"/>
    <col min="4623" max="4864" width="9.140625" style="1"/>
    <col min="4865" max="4865" width="4.140625" style="1" customWidth="1"/>
    <col min="4866" max="4866" width="38.42578125" style="1" customWidth="1"/>
    <col min="4867" max="4867" width="14.28515625" style="1" customWidth="1"/>
    <col min="4868" max="4868" width="6.7109375" style="1" customWidth="1"/>
    <col min="4869" max="4869" width="14.7109375" style="1" customWidth="1"/>
    <col min="4870" max="4870" width="6.7109375" style="1" customWidth="1"/>
    <col min="4871" max="4871" width="13.5703125" style="1" customWidth="1"/>
    <col min="4872" max="4872" width="8.5703125" style="1" customWidth="1"/>
    <col min="4873" max="4873" width="14.42578125" style="1" customWidth="1"/>
    <col min="4874" max="4874" width="6.42578125" style="1" customWidth="1"/>
    <col min="4875" max="4875" width="14.28515625" style="1" customWidth="1"/>
    <col min="4876" max="4876" width="6.5703125" style="1" customWidth="1"/>
    <col min="4877" max="4877" width="13.140625" style="1" customWidth="1"/>
    <col min="4878" max="4878" width="8.42578125" style="1" customWidth="1"/>
    <col min="4879" max="5120" width="9.140625" style="1"/>
    <col min="5121" max="5121" width="4.140625" style="1" customWidth="1"/>
    <col min="5122" max="5122" width="38.42578125" style="1" customWidth="1"/>
    <col min="5123" max="5123" width="14.28515625" style="1" customWidth="1"/>
    <col min="5124" max="5124" width="6.7109375" style="1" customWidth="1"/>
    <col min="5125" max="5125" width="14.7109375" style="1" customWidth="1"/>
    <col min="5126" max="5126" width="6.7109375" style="1" customWidth="1"/>
    <col min="5127" max="5127" width="13.5703125" style="1" customWidth="1"/>
    <col min="5128" max="5128" width="8.5703125" style="1" customWidth="1"/>
    <col min="5129" max="5129" width="14.42578125" style="1" customWidth="1"/>
    <col min="5130" max="5130" width="6.42578125" style="1" customWidth="1"/>
    <col min="5131" max="5131" width="14.28515625" style="1" customWidth="1"/>
    <col min="5132" max="5132" width="6.5703125" style="1" customWidth="1"/>
    <col min="5133" max="5133" width="13.140625" style="1" customWidth="1"/>
    <col min="5134" max="5134" width="8.42578125" style="1" customWidth="1"/>
    <col min="5135" max="5376" width="9.140625" style="1"/>
    <col min="5377" max="5377" width="4.140625" style="1" customWidth="1"/>
    <col min="5378" max="5378" width="38.42578125" style="1" customWidth="1"/>
    <col min="5379" max="5379" width="14.28515625" style="1" customWidth="1"/>
    <col min="5380" max="5380" width="6.7109375" style="1" customWidth="1"/>
    <col min="5381" max="5381" width="14.7109375" style="1" customWidth="1"/>
    <col min="5382" max="5382" width="6.7109375" style="1" customWidth="1"/>
    <col min="5383" max="5383" width="13.5703125" style="1" customWidth="1"/>
    <col min="5384" max="5384" width="8.5703125" style="1" customWidth="1"/>
    <col min="5385" max="5385" width="14.42578125" style="1" customWidth="1"/>
    <col min="5386" max="5386" width="6.42578125" style="1" customWidth="1"/>
    <col min="5387" max="5387" width="14.28515625" style="1" customWidth="1"/>
    <col min="5388" max="5388" width="6.5703125" style="1" customWidth="1"/>
    <col min="5389" max="5389" width="13.140625" style="1" customWidth="1"/>
    <col min="5390" max="5390" width="8.42578125" style="1" customWidth="1"/>
    <col min="5391" max="5632" width="9.140625" style="1"/>
    <col min="5633" max="5633" width="4.140625" style="1" customWidth="1"/>
    <col min="5634" max="5634" width="38.42578125" style="1" customWidth="1"/>
    <col min="5635" max="5635" width="14.28515625" style="1" customWidth="1"/>
    <col min="5636" max="5636" width="6.7109375" style="1" customWidth="1"/>
    <col min="5637" max="5637" width="14.7109375" style="1" customWidth="1"/>
    <col min="5638" max="5638" width="6.7109375" style="1" customWidth="1"/>
    <col min="5639" max="5639" width="13.5703125" style="1" customWidth="1"/>
    <col min="5640" max="5640" width="8.5703125" style="1" customWidth="1"/>
    <col min="5641" max="5641" width="14.42578125" style="1" customWidth="1"/>
    <col min="5642" max="5642" width="6.42578125" style="1" customWidth="1"/>
    <col min="5643" max="5643" width="14.28515625" style="1" customWidth="1"/>
    <col min="5644" max="5644" width="6.5703125" style="1" customWidth="1"/>
    <col min="5645" max="5645" width="13.140625" style="1" customWidth="1"/>
    <col min="5646" max="5646" width="8.42578125" style="1" customWidth="1"/>
    <col min="5647" max="5888" width="9.140625" style="1"/>
    <col min="5889" max="5889" width="4.140625" style="1" customWidth="1"/>
    <col min="5890" max="5890" width="38.42578125" style="1" customWidth="1"/>
    <col min="5891" max="5891" width="14.28515625" style="1" customWidth="1"/>
    <col min="5892" max="5892" width="6.7109375" style="1" customWidth="1"/>
    <col min="5893" max="5893" width="14.7109375" style="1" customWidth="1"/>
    <col min="5894" max="5894" width="6.7109375" style="1" customWidth="1"/>
    <col min="5895" max="5895" width="13.5703125" style="1" customWidth="1"/>
    <col min="5896" max="5896" width="8.5703125" style="1" customWidth="1"/>
    <col min="5897" max="5897" width="14.42578125" style="1" customWidth="1"/>
    <col min="5898" max="5898" width="6.42578125" style="1" customWidth="1"/>
    <col min="5899" max="5899" width="14.28515625" style="1" customWidth="1"/>
    <col min="5900" max="5900" width="6.5703125" style="1" customWidth="1"/>
    <col min="5901" max="5901" width="13.140625" style="1" customWidth="1"/>
    <col min="5902" max="5902" width="8.42578125" style="1" customWidth="1"/>
    <col min="5903" max="6144" width="9.140625" style="1"/>
    <col min="6145" max="6145" width="4.140625" style="1" customWidth="1"/>
    <col min="6146" max="6146" width="38.42578125" style="1" customWidth="1"/>
    <col min="6147" max="6147" width="14.28515625" style="1" customWidth="1"/>
    <col min="6148" max="6148" width="6.7109375" style="1" customWidth="1"/>
    <col min="6149" max="6149" width="14.7109375" style="1" customWidth="1"/>
    <col min="6150" max="6150" width="6.7109375" style="1" customWidth="1"/>
    <col min="6151" max="6151" width="13.5703125" style="1" customWidth="1"/>
    <col min="6152" max="6152" width="8.5703125" style="1" customWidth="1"/>
    <col min="6153" max="6153" width="14.42578125" style="1" customWidth="1"/>
    <col min="6154" max="6154" width="6.42578125" style="1" customWidth="1"/>
    <col min="6155" max="6155" width="14.28515625" style="1" customWidth="1"/>
    <col min="6156" max="6156" width="6.5703125" style="1" customWidth="1"/>
    <col min="6157" max="6157" width="13.140625" style="1" customWidth="1"/>
    <col min="6158" max="6158" width="8.42578125" style="1" customWidth="1"/>
    <col min="6159" max="6400" width="9.140625" style="1"/>
    <col min="6401" max="6401" width="4.140625" style="1" customWidth="1"/>
    <col min="6402" max="6402" width="38.42578125" style="1" customWidth="1"/>
    <col min="6403" max="6403" width="14.28515625" style="1" customWidth="1"/>
    <col min="6404" max="6404" width="6.7109375" style="1" customWidth="1"/>
    <col min="6405" max="6405" width="14.7109375" style="1" customWidth="1"/>
    <col min="6406" max="6406" width="6.7109375" style="1" customWidth="1"/>
    <col min="6407" max="6407" width="13.5703125" style="1" customWidth="1"/>
    <col min="6408" max="6408" width="8.5703125" style="1" customWidth="1"/>
    <col min="6409" max="6409" width="14.42578125" style="1" customWidth="1"/>
    <col min="6410" max="6410" width="6.42578125" style="1" customWidth="1"/>
    <col min="6411" max="6411" width="14.28515625" style="1" customWidth="1"/>
    <col min="6412" max="6412" width="6.5703125" style="1" customWidth="1"/>
    <col min="6413" max="6413" width="13.140625" style="1" customWidth="1"/>
    <col min="6414" max="6414" width="8.42578125" style="1" customWidth="1"/>
    <col min="6415" max="6656" width="9.140625" style="1"/>
    <col min="6657" max="6657" width="4.140625" style="1" customWidth="1"/>
    <col min="6658" max="6658" width="38.42578125" style="1" customWidth="1"/>
    <col min="6659" max="6659" width="14.28515625" style="1" customWidth="1"/>
    <col min="6660" max="6660" width="6.7109375" style="1" customWidth="1"/>
    <col min="6661" max="6661" width="14.7109375" style="1" customWidth="1"/>
    <col min="6662" max="6662" width="6.7109375" style="1" customWidth="1"/>
    <col min="6663" max="6663" width="13.5703125" style="1" customWidth="1"/>
    <col min="6664" max="6664" width="8.5703125" style="1" customWidth="1"/>
    <col min="6665" max="6665" width="14.42578125" style="1" customWidth="1"/>
    <col min="6666" max="6666" width="6.42578125" style="1" customWidth="1"/>
    <col min="6667" max="6667" width="14.28515625" style="1" customWidth="1"/>
    <col min="6668" max="6668" width="6.5703125" style="1" customWidth="1"/>
    <col min="6669" max="6669" width="13.140625" style="1" customWidth="1"/>
    <col min="6670" max="6670" width="8.42578125" style="1" customWidth="1"/>
    <col min="6671" max="6912" width="9.140625" style="1"/>
    <col min="6913" max="6913" width="4.140625" style="1" customWidth="1"/>
    <col min="6914" max="6914" width="38.42578125" style="1" customWidth="1"/>
    <col min="6915" max="6915" width="14.28515625" style="1" customWidth="1"/>
    <col min="6916" max="6916" width="6.7109375" style="1" customWidth="1"/>
    <col min="6917" max="6917" width="14.7109375" style="1" customWidth="1"/>
    <col min="6918" max="6918" width="6.7109375" style="1" customWidth="1"/>
    <col min="6919" max="6919" width="13.5703125" style="1" customWidth="1"/>
    <col min="6920" max="6920" width="8.5703125" style="1" customWidth="1"/>
    <col min="6921" max="6921" width="14.42578125" style="1" customWidth="1"/>
    <col min="6922" max="6922" width="6.42578125" style="1" customWidth="1"/>
    <col min="6923" max="6923" width="14.28515625" style="1" customWidth="1"/>
    <col min="6924" max="6924" width="6.5703125" style="1" customWidth="1"/>
    <col min="6925" max="6925" width="13.140625" style="1" customWidth="1"/>
    <col min="6926" max="6926" width="8.42578125" style="1" customWidth="1"/>
    <col min="6927" max="7168" width="9.140625" style="1"/>
    <col min="7169" max="7169" width="4.140625" style="1" customWidth="1"/>
    <col min="7170" max="7170" width="38.42578125" style="1" customWidth="1"/>
    <col min="7171" max="7171" width="14.28515625" style="1" customWidth="1"/>
    <col min="7172" max="7172" width="6.7109375" style="1" customWidth="1"/>
    <col min="7173" max="7173" width="14.7109375" style="1" customWidth="1"/>
    <col min="7174" max="7174" width="6.7109375" style="1" customWidth="1"/>
    <col min="7175" max="7175" width="13.5703125" style="1" customWidth="1"/>
    <col min="7176" max="7176" width="8.5703125" style="1" customWidth="1"/>
    <col min="7177" max="7177" width="14.42578125" style="1" customWidth="1"/>
    <col min="7178" max="7178" width="6.42578125" style="1" customWidth="1"/>
    <col min="7179" max="7179" width="14.28515625" style="1" customWidth="1"/>
    <col min="7180" max="7180" width="6.5703125" style="1" customWidth="1"/>
    <col min="7181" max="7181" width="13.140625" style="1" customWidth="1"/>
    <col min="7182" max="7182" width="8.42578125" style="1" customWidth="1"/>
    <col min="7183" max="7424" width="9.140625" style="1"/>
    <col min="7425" max="7425" width="4.140625" style="1" customWidth="1"/>
    <col min="7426" max="7426" width="38.42578125" style="1" customWidth="1"/>
    <col min="7427" max="7427" width="14.28515625" style="1" customWidth="1"/>
    <col min="7428" max="7428" width="6.7109375" style="1" customWidth="1"/>
    <col min="7429" max="7429" width="14.7109375" style="1" customWidth="1"/>
    <col min="7430" max="7430" width="6.7109375" style="1" customWidth="1"/>
    <col min="7431" max="7431" width="13.5703125" style="1" customWidth="1"/>
    <col min="7432" max="7432" width="8.5703125" style="1" customWidth="1"/>
    <col min="7433" max="7433" width="14.42578125" style="1" customWidth="1"/>
    <col min="7434" max="7434" width="6.42578125" style="1" customWidth="1"/>
    <col min="7435" max="7435" width="14.28515625" style="1" customWidth="1"/>
    <col min="7436" max="7436" width="6.5703125" style="1" customWidth="1"/>
    <col min="7437" max="7437" width="13.140625" style="1" customWidth="1"/>
    <col min="7438" max="7438" width="8.42578125" style="1" customWidth="1"/>
    <col min="7439" max="7680" width="9.140625" style="1"/>
    <col min="7681" max="7681" width="4.140625" style="1" customWidth="1"/>
    <col min="7682" max="7682" width="38.42578125" style="1" customWidth="1"/>
    <col min="7683" max="7683" width="14.28515625" style="1" customWidth="1"/>
    <col min="7684" max="7684" width="6.7109375" style="1" customWidth="1"/>
    <col min="7685" max="7685" width="14.7109375" style="1" customWidth="1"/>
    <col min="7686" max="7686" width="6.7109375" style="1" customWidth="1"/>
    <col min="7687" max="7687" width="13.5703125" style="1" customWidth="1"/>
    <col min="7688" max="7688" width="8.5703125" style="1" customWidth="1"/>
    <col min="7689" max="7689" width="14.42578125" style="1" customWidth="1"/>
    <col min="7690" max="7690" width="6.42578125" style="1" customWidth="1"/>
    <col min="7691" max="7691" width="14.28515625" style="1" customWidth="1"/>
    <col min="7692" max="7692" width="6.5703125" style="1" customWidth="1"/>
    <col min="7693" max="7693" width="13.140625" style="1" customWidth="1"/>
    <col min="7694" max="7694" width="8.42578125" style="1" customWidth="1"/>
    <col min="7695" max="7936" width="9.140625" style="1"/>
    <col min="7937" max="7937" width="4.140625" style="1" customWidth="1"/>
    <col min="7938" max="7938" width="38.42578125" style="1" customWidth="1"/>
    <col min="7939" max="7939" width="14.28515625" style="1" customWidth="1"/>
    <col min="7940" max="7940" width="6.7109375" style="1" customWidth="1"/>
    <col min="7941" max="7941" width="14.7109375" style="1" customWidth="1"/>
    <col min="7942" max="7942" width="6.7109375" style="1" customWidth="1"/>
    <col min="7943" max="7943" width="13.5703125" style="1" customWidth="1"/>
    <col min="7944" max="7944" width="8.5703125" style="1" customWidth="1"/>
    <col min="7945" max="7945" width="14.42578125" style="1" customWidth="1"/>
    <col min="7946" max="7946" width="6.42578125" style="1" customWidth="1"/>
    <col min="7947" max="7947" width="14.28515625" style="1" customWidth="1"/>
    <col min="7948" max="7948" width="6.5703125" style="1" customWidth="1"/>
    <col min="7949" max="7949" width="13.140625" style="1" customWidth="1"/>
    <col min="7950" max="7950" width="8.42578125" style="1" customWidth="1"/>
    <col min="7951" max="8192" width="9.140625" style="1"/>
    <col min="8193" max="8193" width="4.140625" style="1" customWidth="1"/>
    <col min="8194" max="8194" width="38.42578125" style="1" customWidth="1"/>
    <col min="8195" max="8195" width="14.28515625" style="1" customWidth="1"/>
    <col min="8196" max="8196" width="6.7109375" style="1" customWidth="1"/>
    <col min="8197" max="8197" width="14.7109375" style="1" customWidth="1"/>
    <col min="8198" max="8198" width="6.7109375" style="1" customWidth="1"/>
    <col min="8199" max="8199" width="13.5703125" style="1" customWidth="1"/>
    <col min="8200" max="8200" width="8.5703125" style="1" customWidth="1"/>
    <col min="8201" max="8201" width="14.42578125" style="1" customWidth="1"/>
    <col min="8202" max="8202" width="6.42578125" style="1" customWidth="1"/>
    <col min="8203" max="8203" width="14.28515625" style="1" customWidth="1"/>
    <col min="8204" max="8204" width="6.5703125" style="1" customWidth="1"/>
    <col min="8205" max="8205" width="13.140625" style="1" customWidth="1"/>
    <col min="8206" max="8206" width="8.42578125" style="1" customWidth="1"/>
    <col min="8207" max="8448" width="9.140625" style="1"/>
    <col min="8449" max="8449" width="4.140625" style="1" customWidth="1"/>
    <col min="8450" max="8450" width="38.42578125" style="1" customWidth="1"/>
    <col min="8451" max="8451" width="14.28515625" style="1" customWidth="1"/>
    <col min="8452" max="8452" width="6.7109375" style="1" customWidth="1"/>
    <col min="8453" max="8453" width="14.7109375" style="1" customWidth="1"/>
    <col min="8454" max="8454" width="6.7109375" style="1" customWidth="1"/>
    <col min="8455" max="8455" width="13.5703125" style="1" customWidth="1"/>
    <col min="8456" max="8456" width="8.5703125" style="1" customWidth="1"/>
    <col min="8457" max="8457" width="14.42578125" style="1" customWidth="1"/>
    <col min="8458" max="8458" width="6.42578125" style="1" customWidth="1"/>
    <col min="8459" max="8459" width="14.28515625" style="1" customWidth="1"/>
    <col min="8460" max="8460" width="6.5703125" style="1" customWidth="1"/>
    <col min="8461" max="8461" width="13.140625" style="1" customWidth="1"/>
    <col min="8462" max="8462" width="8.42578125" style="1" customWidth="1"/>
    <col min="8463" max="8704" width="9.140625" style="1"/>
    <col min="8705" max="8705" width="4.140625" style="1" customWidth="1"/>
    <col min="8706" max="8706" width="38.42578125" style="1" customWidth="1"/>
    <col min="8707" max="8707" width="14.28515625" style="1" customWidth="1"/>
    <col min="8708" max="8708" width="6.7109375" style="1" customWidth="1"/>
    <col min="8709" max="8709" width="14.7109375" style="1" customWidth="1"/>
    <col min="8710" max="8710" width="6.7109375" style="1" customWidth="1"/>
    <col min="8711" max="8711" width="13.5703125" style="1" customWidth="1"/>
    <col min="8712" max="8712" width="8.5703125" style="1" customWidth="1"/>
    <col min="8713" max="8713" width="14.42578125" style="1" customWidth="1"/>
    <col min="8714" max="8714" width="6.42578125" style="1" customWidth="1"/>
    <col min="8715" max="8715" width="14.28515625" style="1" customWidth="1"/>
    <col min="8716" max="8716" width="6.5703125" style="1" customWidth="1"/>
    <col min="8717" max="8717" width="13.140625" style="1" customWidth="1"/>
    <col min="8718" max="8718" width="8.42578125" style="1" customWidth="1"/>
    <col min="8719" max="8960" width="9.140625" style="1"/>
    <col min="8961" max="8961" width="4.140625" style="1" customWidth="1"/>
    <col min="8962" max="8962" width="38.42578125" style="1" customWidth="1"/>
    <col min="8963" max="8963" width="14.28515625" style="1" customWidth="1"/>
    <col min="8964" max="8964" width="6.7109375" style="1" customWidth="1"/>
    <col min="8965" max="8965" width="14.7109375" style="1" customWidth="1"/>
    <col min="8966" max="8966" width="6.7109375" style="1" customWidth="1"/>
    <col min="8967" max="8967" width="13.5703125" style="1" customWidth="1"/>
    <col min="8968" max="8968" width="8.5703125" style="1" customWidth="1"/>
    <col min="8969" max="8969" width="14.42578125" style="1" customWidth="1"/>
    <col min="8970" max="8970" width="6.42578125" style="1" customWidth="1"/>
    <col min="8971" max="8971" width="14.28515625" style="1" customWidth="1"/>
    <col min="8972" max="8972" width="6.5703125" style="1" customWidth="1"/>
    <col min="8973" max="8973" width="13.140625" style="1" customWidth="1"/>
    <col min="8974" max="8974" width="8.42578125" style="1" customWidth="1"/>
    <col min="8975" max="9216" width="9.140625" style="1"/>
    <col min="9217" max="9217" width="4.140625" style="1" customWidth="1"/>
    <col min="9218" max="9218" width="38.42578125" style="1" customWidth="1"/>
    <col min="9219" max="9219" width="14.28515625" style="1" customWidth="1"/>
    <col min="9220" max="9220" width="6.7109375" style="1" customWidth="1"/>
    <col min="9221" max="9221" width="14.7109375" style="1" customWidth="1"/>
    <col min="9222" max="9222" width="6.7109375" style="1" customWidth="1"/>
    <col min="9223" max="9223" width="13.5703125" style="1" customWidth="1"/>
    <col min="9224" max="9224" width="8.5703125" style="1" customWidth="1"/>
    <col min="9225" max="9225" width="14.42578125" style="1" customWidth="1"/>
    <col min="9226" max="9226" width="6.42578125" style="1" customWidth="1"/>
    <col min="9227" max="9227" width="14.28515625" style="1" customWidth="1"/>
    <col min="9228" max="9228" width="6.5703125" style="1" customWidth="1"/>
    <col min="9229" max="9229" width="13.140625" style="1" customWidth="1"/>
    <col min="9230" max="9230" width="8.42578125" style="1" customWidth="1"/>
    <col min="9231" max="9472" width="9.140625" style="1"/>
    <col min="9473" max="9473" width="4.140625" style="1" customWidth="1"/>
    <col min="9474" max="9474" width="38.42578125" style="1" customWidth="1"/>
    <col min="9475" max="9475" width="14.28515625" style="1" customWidth="1"/>
    <col min="9476" max="9476" width="6.7109375" style="1" customWidth="1"/>
    <col min="9477" max="9477" width="14.7109375" style="1" customWidth="1"/>
    <col min="9478" max="9478" width="6.7109375" style="1" customWidth="1"/>
    <col min="9479" max="9479" width="13.5703125" style="1" customWidth="1"/>
    <col min="9480" max="9480" width="8.5703125" style="1" customWidth="1"/>
    <col min="9481" max="9481" width="14.42578125" style="1" customWidth="1"/>
    <col min="9482" max="9482" width="6.42578125" style="1" customWidth="1"/>
    <col min="9483" max="9483" width="14.28515625" style="1" customWidth="1"/>
    <col min="9484" max="9484" width="6.5703125" style="1" customWidth="1"/>
    <col min="9485" max="9485" width="13.140625" style="1" customWidth="1"/>
    <col min="9486" max="9486" width="8.42578125" style="1" customWidth="1"/>
    <col min="9487" max="9728" width="9.140625" style="1"/>
    <col min="9729" max="9729" width="4.140625" style="1" customWidth="1"/>
    <col min="9730" max="9730" width="38.42578125" style="1" customWidth="1"/>
    <col min="9731" max="9731" width="14.28515625" style="1" customWidth="1"/>
    <col min="9732" max="9732" width="6.7109375" style="1" customWidth="1"/>
    <col min="9733" max="9733" width="14.7109375" style="1" customWidth="1"/>
    <col min="9734" max="9734" width="6.7109375" style="1" customWidth="1"/>
    <col min="9735" max="9735" width="13.5703125" style="1" customWidth="1"/>
    <col min="9736" max="9736" width="8.5703125" style="1" customWidth="1"/>
    <col min="9737" max="9737" width="14.42578125" style="1" customWidth="1"/>
    <col min="9738" max="9738" width="6.42578125" style="1" customWidth="1"/>
    <col min="9739" max="9739" width="14.28515625" style="1" customWidth="1"/>
    <col min="9740" max="9740" width="6.5703125" style="1" customWidth="1"/>
    <col min="9741" max="9741" width="13.140625" style="1" customWidth="1"/>
    <col min="9742" max="9742" width="8.42578125" style="1" customWidth="1"/>
    <col min="9743" max="9984" width="9.140625" style="1"/>
    <col min="9985" max="9985" width="4.140625" style="1" customWidth="1"/>
    <col min="9986" max="9986" width="38.42578125" style="1" customWidth="1"/>
    <col min="9987" max="9987" width="14.28515625" style="1" customWidth="1"/>
    <col min="9988" max="9988" width="6.7109375" style="1" customWidth="1"/>
    <col min="9989" max="9989" width="14.7109375" style="1" customWidth="1"/>
    <col min="9990" max="9990" width="6.7109375" style="1" customWidth="1"/>
    <col min="9991" max="9991" width="13.5703125" style="1" customWidth="1"/>
    <col min="9992" max="9992" width="8.5703125" style="1" customWidth="1"/>
    <col min="9993" max="9993" width="14.42578125" style="1" customWidth="1"/>
    <col min="9994" max="9994" width="6.42578125" style="1" customWidth="1"/>
    <col min="9995" max="9995" width="14.28515625" style="1" customWidth="1"/>
    <col min="9996" max="9996" width="6.5703125" style="1" customWidth="1"/>
    <col min="9997" max="9997" width="13.140625" style="1" customWidth="1"/>
    <col min="9998" max="9998" width="8.42578125" style="1" customWidth="1"/>
    <col min="9999" max="10240" width="9.140625" style="1"/>
    <col min="10241" max="10241" width="4.140625" style="1" customWidth="1"/>
    <col min="10242" max="10242" width="38.42578125" style="1" customWidth="1"/>
    <col min="10243" max="10243" width="14.28515625" style="1" customWidth="1"/>
    <col min="10244" max="10244" width="6.7109375" style="1" customWidth="1"/>
    <col min="10245" max="10245" width="14.7109375" style="1" customWidth="1"/>
    <col min="10246" max="10246" width="6.7109375" style="1" customWidth="1"/>
    <col min="10247" max="10247" width="13.5703125" style="1" customWidth="1"/>
    <col min="10248" max="10248" width="8.5703125" style="1" customWidth="1"/>
    <col min="10249" max="10249" width="14.42578125" style="1" customWidth="1"/>
    <col min="10250" max="10250" width="6.42578125" style="1" customWidth="1"/>
    <col min="10251" max="10251" width="14.28515625" style="1" customWidth="1"/>
    <col min="10252" max="10252" width="6.5703125" style="1" customWidth="1"/>
    <col min="10253" max="10253" width="13.140625" style="1" customWidth="1"/>
    <col min="10254" max="10254" width="8.42578125" style="1" customWidth="1"/>
    <col min="10255" max="10496" width="9.140625" style="1"/>
    <col min="10497" max="10497" width="4.140625" style="1" customWidth="1"/>
    <col min="10498" max="10498" width="38.42578125" style="1" customWidth="1"/>
    <col min="10499" max="10499" width="14.28515625" style="1" customWidth="1"/>
    <col min="10500" max="10500" width="6.7109375" style="1" customWidth="1"/>
    <col min="10501" max="10501" width="14.7109375" style="1" customWidth="1"/>
    <col min="10502" max="10502" width="6.7109375" style="1" customWidth="1"/>
    <col min="10503" max="10503" width="13.5703125" style="1" customWidth="1"/>
    <col min="10504" max="10504" width="8.5703125" style="1" customWidth="1"/>
    <col min="10505" max="10505" width="14.42578125" style="1" customWidth="1"/>
    <col min="10506" max="10506" width="6.42578125" style="1" customWidth="1"/>
    <col min="10507" max="10507" width="14.28515625" style="1" customWidth="1"/>
    <col min="10508" max="10508" width="6.5703125" style="1" customWidth="1"/>
    <col min="10509" max="10509" width="13.140625" style="1" customWidth="1"/>
    <col min="10510" max="10510" width="8.42578125" style="1" customWidth="1"/>
    <col min="10511" max="10752" width="9.140625" style="1"/>
    <col min="10753" max="10753" width="4.140625" style="1" customWidth="1"/>
    <col min="10754" max="10754" width="38.42578125" style="1" customWidth="1"/>
    <col min="10755" max="10755" width="14.28515625" style="1" customWidth="1"/>
    <col min="10756" max="10756" width="6.7109375" style="1" customWidth="1"/>
    <col min="10757" max="10757" width="14.7109375" style="1" customWidth="1"/>
    <col min="10758" max="10758" width="6.7109375" style="1" customWidth="1"/>
    <col min="10759" max="10759" width="13.5703125" style="1" customWidth="1"/>
    <col min="10760" max="10760" width="8.5703125" style="1" customWidth="1"/>
    <col min="10761" max="10761" width="14.42578125" style="1" customWidth="1"/>
    <col min="10762" max="10762" width="6.42578125" style="1" customWidth="1"/>
    <col min="10763" max="10763" width="14.28515625" style="1" customWidth="1"/>
    <col min="10764" max="10764" width="6.5703125" style="1" customWidth="1"/>
    <col min="10765" max="10765" width="13.140625" style="1" customWidth="1"/>
    <col min="10766" max="10766" width="8.42578125" style="1" customWidth="1"/>
    <col min="10767" max="11008" width="9.140625" style="1"/>
    <col min="11009" max="11009" width="4.140625" style="1" customWidth="1"/>
    <col min="11010" max="11010" width="38.42578125" style="1" customWidth="1"/>
    <col min="11011" max="11011" width="14.28515625" style="1" customWidth="1"/>
    <col min="11012" max="11012" width="6.7109375" style="1" customWidth="1"/>
    <col min="11013" max="11013" width="14.7109375" style="1" customWidth="1"/>
    <col min="11014" max="11014" width="6.7109375" style="1" customWidth="1"/>
    <col min="11015" max="11015" width="13.5703125" style="1" customWidth="1"/>
    <col min="11016" max="11016" width="8.5703125" style="1" customWidth="1"/>
    <col min="11017" max="11017" width="14.42578125" style="1" customWidth="1"/>
    <col min="11018" max="11018" width="6.42578125" style="1" customWidth="1"/>
    <col min="11019" max="11019" width="14.28515625" style="1" customWidth="1"/>
    <col min="11020" max="11020" width="6.5703125" style="1" customWidth="1"/>
    <col min="11021" max="11021" width="13.140625" style="1" customWidth="1"/>
    <col min="11022" max="11022" width="8.42578125" style="1" customWidth="1"/>
    <col min="11023" max="11264" width="9.140625" style="1"/>
    <col min="11265" max="11265" width="4.140625" style="1" customWidth="1"/>
    <col min="11266" max="11266" width="38.42578125" style="1" customWidth="1"/>
    <col min="11267" max="11267" width="14.28515625" style="1" customWidth="1"/>
    <col min="11268" max="11268" width="6.7109375" style="1" customWidth="1"/>
    <col min="11269" max="11269" width="14.7109375" style="1" customWidth="1"/>
    <col min="11270" max="11270" width="6.7109375" style="1" customWidth="1"/>
    <col min="11271" max="11271" width="13.5703125" style="1" customWidth="1"/>
    <col min="11272" max="11272" width="8.5703125" style="1" customWidth="1"/>
    <col min="11273" max="11273" width="14.42578125" style="1" customWidth="1"/>
    <col min="11274" max="11274" width="6.42578125" style="1" customWidth="1"/>
    <col min="11275" max="11275" width="14.28515625" style="1" customWidth="1"/>
    <col min="11276" max="11276" width="6.5703125" style="1" customWidth="1"/>
    <col min="11277" max="11277" width="13.140625" style="1" customWidth="1"/>
    <col min="11278" max="11278" width="8.42578125" style="1" customWidth="1"/>
    <col min="11279" max="11520" width="9.140625" style="1"/>
    <col min="11521" max="11521" width="4.140625" style="1" customWidth="1"/>
    <col min="11522" max="11522" width="38.42578125" style="1" customWidth="1"/>
    <col min="11523" max="11523" width="14.28515625" style="1" customWidth="1"/>
    <col min="11524" max="11524" width="6.7109375" style="1" customWidth="1"/>
    <col min="11525" max="11525" width="14.7109375" style="1" customWidth="1"/>
    <col min="11526" max="11526" width="6.7109375" style="1" customWidth="1"/>
    <col min="11527" max="11527" width="13.5703125" style="1" customWidth="1"/>
    <col min="11528" max="11528" width="8.5703125" style="1" customWidth="1"/>
    <col min="11529" max="11529" width="14.42578125" style="1" customWidth="1"/>
    <col min="11530" max="11530" width="6.42578125" style="1" customWidth="1"/>
    <col min="11531" max="11531" width="14.28515625" style="1" customWidth="1"/>
    <col min="11532" max="11532" width="6.5703125" style="1" customWidth="1"/>
    <col min="11533" max="11533" width="13.140625" style="1" customWidth="1"/>
    <col min="11534" max="11534" width="8.42578125" style="1" customWidth="1"/>
    <col min="11535" max="11776" width="9.140625" style="1"/>
    <col min="11777" max="11777" width="4.140625" style="1" customWidth="1"/>
    <col min="11778" max="11778" width="38.42578125" style="1" customWidth="1"/>
    <col min="11779" max="11779" width="14.28515625" style="1" customWidth="1"/>
    <col min="11780" max="11780" width="6.7109375" style="1" customWidth="1"/>
    <col min="11781" max="11781" width="14.7109375" style="1" customWidth="1"/>
    <col min="11782" max="11782" width="6.7109375" style="1" customWidth="1"/>
    <col min="11783" max="11783" width="13.5703125" style="1" customWidth="1"/>
    <col min="11784" max="11784" width="8.5703125" style="1" customWidth="1"/>
    <col min="11785" max="11785" width="14.42578125" style="1" customWidth="1"/>
    <col min="11786" max="11786" width="6.42578125" style="1" customWidth="1"/>
    <col min="11787" max="11787" width="14.28515625" style="1" customWidth="1"/>
    <col min="11788" max="11788" width="6.5703125" style="1" customWidth="1"/>
    <col min="11789" max="11789" width="13.140625" style="1" customWidth="1"/>
    <col min="11790" max="11790" width="8.42578125" style="1" customWidth="1"/>
    <col min="11791" max="12032" width="9.140625" style="1"/>
    <col min="12033" max="12033" width="4.140625" style="1" customWidth="1"/>
    <col min="12034" max="12034" width="38.42578125" style="1" customWidth="1"/>
    <col min="12035" max="12035" width="14.28515625" style="1" customWidth="1"/>
    <col min="12036" max="12036" width="6.7109375" style="1" customWidth="1"/>
    <col min="12037" max="12037" width="14.7109375" style="1" customWidth="1"/>
    <col min="12038" max="12038" width="6.7109375" style="1" customWidth="1"/>
    <col min="12039" max="12039" width="13.5703125" style="1" customWidth="1"/>
    <col min="12040" max="12040" width="8.5703125" style="1" customWidth="1"/>
    <col min="12041" max="12041" width="14.42578125" style="1" customWidth="1"/>
    <col min="12042" max="12042" width="6.42578125" style="1" customWidth="1"/>
    <col min="12043" max="12043" width="14.28515625" style="1" customWidth="1"/>
    <col min="12044" max="12044" width="6.5703125" style="1" customWidth="1"/>
    <col min="12045" max="12045" width="13.140625" style="1" customWidth="1"/>
    <col min="12046" max="12046" width="8.42578125" style="1" customWidth="1"/>
    <col min="12047" max="12288" width="9.140625" style="1"/>
    <col min="12289" max="12289" width="4.140625" style="1" customWidth="1"/>
    <col min="12290" max="12290" width="38.42578125" style="1" customWidth="1"/>
    <col min="12291" max="12291" width="14.28515625" style="1" customWidth="1"/>
    <col min="12292" max="12292" width="6.7109375" style="1" customWidth="1"/>
    <col min="12293" max="12293" width="14.7109375" style="1" customWidth="1"/>
    <col min="12294" max="12294" width="6.7109375" style="1" customWidth="1"/>
    <col min="12295" max="12295" width="13.5703125" style="1" customWidth="1"/>
    <col min="12296" max="12296" width="8.5703125" style="1" customWidth="1"/>
    <col min="12297" max="12297" width="14.42578125" style="1" customWidth="1"/>
    <col min="12298" max="12298" width="6.42578125" style="1" customWidth="1"/>
    <col min="12299" max="12299" width="14.28515625" style="1" customWidth="1"/>
    <col min="12300" max="12300" width="6.5703125" style="1" customWidth="1"/>
    <col min="12301" max="12301" width="13.140625" style="1" customWidth="1"/>
    <col min="12302" max="12302" width="8.42578125" style="1" customWidth="1"/>
    <col min="12303" max="12544" width="9.140625" style="1"/>
    <col min="12545" max="12545" width="4.140625" style="1" customWidth="1"/>
    <col min="12546" max="12546" width="38.42578125" style="1" customWidth="1"/>
    <col min="12547" max="12547" width="14.28515625" style="1" customWidth="1"/>
    <col min="12548" max="12548" width="6.7109375" style="1" customWidth="1"/>
    <col min="12549" max="12549" width="14.7109375" style="1" customWidth="1"/>
    <col min="12550" max="12550" width="6.7109375" style="1" customWidth="1"/>
    <col min="12551" max="12551" width="13.5703125" style="1" customWidth="1"/>
    <col min="12552" max="12552" width="8.5703125" style="1" customWidth="1"/>
    <col min="12553" max="12553" width="14.42578125" style="1" customWidth="1"/>
    <col min="12554" max="12554" width="6.42578125" style="1" customWidth="1"/>
    <col min="12555" max="12555" width="14.28515625" style="1" customWidth="1"/>
    <col min="12556" max="12556" width="6.5703125" style="1" customWidth="1"/>
    <col min="12557" max="12557" width="13.140625" style="1" customWidth="1"/>
    <col min="12558" max="12558" width="8.42578125" style="1" customWidth="1"/>
    <col min="12559" max="12800" width="9.140625" style="1"/>
    <col min="12801" max="12801" width="4.140625" style="1" customWidth="1"/>
    <col min="12802" max="12802" width="38.42578125" style="1" customWidth="1"/>
    <col min="12803" max="12803" width="14.28515625" style="1" customWidth="1"/>
    <col min="12804" max="12804" width="6.7109375" style="1" customWidth="1"/>
    <col min="12805" max="12805" width="14.7109375" style="1" customWidth="1"/>
    <col min="12806" max="12806" width="6.7109375" style="1" customWidth="1"/>
    <col min="12807" max="12807" width="13.5703125" style="1" customWidth="1"/>
    <col min="12808" max="12808" width="8.5703125" style="1" customWidth="1"/>
    <col min="12809" max="12809" width="14.42578125" style="1" customWidth="1"/>
    <col min="12810" max="12810" width="6.42578125" style="1" customWidth="1"/>
    <col min="12811" max="12811" width="14.28515625" style="1" customWidth="1"/>
    <col min="12812" max="12812" width="6.5703125" style="1" customWidth="1"/>
    <col min="12813" max="12813" width="13.140625" style="1" customWidth="1"/>
    <col min="12814" max="12814" width="8.42578125" style="1" customWidth="1"/>
    <col min="12815" max="13056" width="9.140625" style="1"/>
    <col min="13057" max="13057" width="4.140625" style="1" customWidth="1"/>
    <col min="13058" max="13058" width="38.42578125" style="1" customWidth="1"/>
    <col min="13059" max="13059" width="14.28515625" style="1" customWidth="1"/>
    <col min="13060" max="13060" width="6.7109375" style="1" customWidth="1"/>
    <col min="13061" max="13061" width="14.7109375" style="1" customWidth="1"/>
    <col min="13062" max="13062" width="6.7109375" style="1" customWidth="1"/>
    <col min="13063" max="13063" width="13.5703125" style="1" customWidth="1"/>
    <col min="13064" max="13064" width="8.5703125" style="1" customWidth="1"/>
    <col min="13065" max="13065" width="14.42578125" style="1" customWidth="1"/>
    <col min="13066" max="13066" width="6.42578125" style="1" customWidth="1"/>
    <col min="13067" max="13067" width="14.28515625" style="1" customWidth="1"/>
    <col min="13068" max="13068" width="6.5703125" style="1" customWidth="1"/>
    <col min="13069" max="13069" width="13.140625" style="1" customWidth="1"/>
    <col min="13070" max="13070" width="8.42578125" style="1" customWidth="1"/>
    <col min="13071" max="13312" width="9.140625" style="1"/>
    <col min="13313" max="13313" width="4.140625" style="1" customWidth="1"/>
    <col min="13314" max="13314" width="38.42578125" style="1" customWidth="1"/>
    <col min="13315" max="13315" width="14.28515625" style="1" customWidth="1"/>
    <col min="13316" max="13316" width="6.7109375" style="1" customWidth="1"/>
    <col min="13317" max="13317" width="14.7109375" style="1" customWidth="1"/>
    <col min="13318" max="13318" width="6.7109375" style="1" customWidth="1"/>
    <col min="13319" max="13319" width="13.5703125" style="1" customWidth="1"/>
    <col min="13320" max="13320" width="8.5703125" style="1" customWidth="1"/>
    <col min="13321" max="13321" width="14.42578125" style="1" customWidth="1"/>
    <col min="13322" max="13322" width="6.42578125" style="1" customWidth="1"/>
    <col min="13323" max="13323" width="14.28515625" style="1" customWidth="1"/>
    <col min="13324" max="13324" width="6.5703125" style="1" customWidth="1"/>
    <col min="13325" max="13325" width="13.140625" style="1" customWidth="1"/>
    <col min="13326" max="13326" width="8.42578125" style="1" customWidth="1"/>
    <col min="13327" max="13568" width="9.140625" style="1"/>
    <col min="13569" max="13569" width="4.140625" style="1" customWidth="1"/>
    <col min="13570" max="13570" width="38.42578125" style="1" customWidth="1"/>
    <col min="13571" max="13571" width="14.28515625" style="1" customWidth="1"/>
    <col min="13572" max="13572" width="6.7109375" style="1" customWidth="1"/>
    <col min="13573" max="13573" width="14.7109375" style="1" customWidth="1"/>
    <col min="13574" max="13574" width="6.7109375" style="1" customWidth="1"/>
    <col min="13575" max="13575" width="13.5703125" style="1" customWidth="1"/>
    <col min="13576" max="13576" width="8.5703125" style="1" customWidth="1"/>
    <col min="13577" max="13577" width="14.42578125" style="1" customWidth="1"/>
    <col min="13578" max="13578" width="6.42578125" style="1" customWidth="1"/>
    <col min="13579" max="13579" width="14.28515625" style="1" customWidth="1"/>
    <col min="13580" max="13580" width="6.5703125" style="1" customWidth="1"/>
    <col min="13581" max="13581" width="13.140625" style="1" customWidth="1"/>
    <col min="13582" max="13582" width="8.42578125" style="1" customWidth="1"/>
    <col min="13583" max="13824" width="9.140625" style="1"/>
    <col min="13825" max="13825" width="4.140625" style="1" customWidth="1"/>
    <col min="13826" max="13826" width="38.42578125" style="1" customWidth="1"/>
    <col min="13827" max="13827" width="14.28515625" style="1" customWidth="1"/>
    <col min="13828" max="13828" width="6.7109375" style="1" customWidth="1"/>
    <col min="13829" max="13829" width="14.7109375" style="1" customWidth="1"/>
    <col min="13830" max="13830" width="6.7109375" style="1" customWidth="1"/>
    <col min="13831" max="13831" width="13.5703125" style="1" customWidth="1"/>
    <col min="13832" max="13832" width="8.5703125" style="1" customWidth="1"/>
    <col min="13833" max="13833" width="14.42578125" style="1" customWidth="1"/>
    <col min="13834" max="13834" width="6.42578125" style="1" customWidth="1"/>
    <col min="13835" max="13835" width="14.28515625" style="1" customWidth="1"/>
    <col min="13836" max="13836" width="6.5703125" style="1" customWidth="1"/>
    <col min="13837" max="13837" width="13.140625" style="1" customWidth="1"/>
    <col min="13838" max="13838" width="8.42578125" style="1" customWidth="1"/>
    <col min="13839" max="14080" width="9.140625" style="1"/>
    <col min="14081" max="14081" width="4.140625" style="1" customWidth="1"/>
    <col min="14082" max="14082" width="38.42578125" style="1" customWidth="1"/>
    <col min="14083" max="14083" width="14.28515625" style="1" customWidth="1"/>
    <col min="14084" max="14084" width="6.7109375" style="1" customWidth="1"/>
    <col min="14085" max="14085" width="14.7109375" style="1" customWidth="1"/>
    <col min="14086" max="14086" width="6.7109375" style="1" customWidth="1"/>
    <col min="14087" max="14087" width="13.5703125" style="1" customWidth="1"/>
    <col min="14088" max="14088" width="8.5703125" style="1" customWidth="1"/>
    <col min="14089" max="14089" width="14.42578125" style="1" customWidth="1"/>
    <col min="14090" max="14090" width="6.42578125" style="1" customWidth="1"/>
    <col min="14091" max="14091" width="14.28515625" style="1" customWidth="1"/>
    <col min="14092" max="14092" width="6.5703125" style="1" customWidth="1"/>
    <col min="14093" max="14093" width="13.140625" style="1" customWidth="1"/>
    <col min="14094" max="14094" width="8.42578125" style="1" customWidth="1"/>
    <col min="14095" max="14336" width="9.140625" style="1"/>
    <col min="14337" max="14337" width="4.140625" style="1" customWidth="1"/>
    <col min="14338" max="14338" width="38.42578125" style="1" customWidth="1"/>
    <col min="14339" max="14339" width="14.28515625" style="1" customWidth="1"/>
    <col min="14340" max="14340" width="6.7109375" style="1" customWidth="1"/>
    <col min="14341" max="14341" width="14.7109375" style="1" customWidth="1"/>
    <col min="14342" max="14342" width="6.7109375" style="1" customWidth="1"/>
    <col min="14343" max="14343" width="13.5703125" style="1" customWidth="1"/>
    <col min="14344" max="14344" width="8.5703125" style="1" customWidth="1"/>
    <col min="14345" max="14345" width="14.42578125" style="1" customWidth="1"/>
    <col min="14346" max="14346" width="6.42578125" style="1" customWidth="1"/>
    <col min="14347" max="14347" width="14.28515625" style="1" customWidth="1"/>
    <col min="14348" max="14348" width="6.5703125" style="1" customWidth="1"/>
    <col min="14349" max="14349" width="13.140625" style="1" customWidth="1"/>
    <col min="14350" max="14350" width="8.42578125" style="1" customWidth="1"/>
    <col min="14351" max="14592" width="9.140625" style="1"/>
    <col min="14593" max="14593" width="4.140625" style="1" customWidth="1"/>
    <col min="14594" max="14594" width="38.42578125" style="1" customWidth="1"/>
    <col min="14595" max="14595" width="14.28515625" style="1" customWidth="1"/>
    <col min="14596" max="14596" width="6.7109375" style="1" customWidth="1"/>
    <col min="14597" max="14597" width="14.7109375" style="1" customWidth="1"/>
    <col min="14598" max="14598" width="6.7109375" style="1" customWidth="1"/>
    <col min="14599" max="14599" width="13.5703125" style="1" customWidth="1"/>
    <col min="14600" max="14600" width="8.5703125" style="1" customWidth="1"/>
    <col min="14601" max="14601" width="14.42578125" style="1" customWidth="1"/>
    <col min="14602" max="14602" width="6.42578125" style="1" customWidth="1"/>
    <col min="14603" max="14603" width="14.28515625" style="1" customWidth="1"/>
    <col min="14604" max="14604" width="6.5703125" style="1" customWidth="1"/>
    <col min="14605" max="14605" width="13.140625" style="1" customWidth="1"/>
    <col min="14606" max="14606" width="8.42578125" style="1" customWidth="1"/>
    <col min="14607" max="14848" width="9.140625" style="1"/>
    <col min="14849" max="14849" width="4.140625" style="1" customWidth="1"/>
    <col min="14850" max="14850" width="38.42578125" style="1" customWidth="1"/>
    <col min="14851" max="14851" width="14.28515625" style="1" customWidth="1"/>
    <col min="14852" max="14852" width="6.7109375" style="1" customWidth="1"/>
    <col min="14853" max="14853" width="14.7109375" style="1" customWidth="1"/>
    <col min="14854" max="14854" width="6.7109375" style="1" customWidth="1"/>
    <col min="14855" max="14855" width="13.5703125" style="1" customWidth="1"/>
    <col min="14856" max="14856" width="8.5703125" style="1" customWidth="1"/>
    <col min="14857" max="14857" width="14.42578125" style="1" customWidth="1"/>
    <col min="14858" max="14858" width="6.42578125" style="1" customWidth="1"/>
    <col min="14859" max="14859" width="14.28515625" style="1" customWidth="1"/>
    <col min="14860" max="14860" width="6.5703125" style="1" customWidth="1"/>
    <col min="14861" max="14861" width="13.140625" style="1" customWidth="1"/>
    <col min="14862" max="14862" width="8.42578125" style="1" customWidth="1"/>
    <col min="14863" max="15104" width="9.140625" style="1"/>
    <col min="15105" max="15105" width="4.140625" style="1" customWidth="1"/>
    <col min="15106" max="15106" width="38.42578125" style="1" customWidth="1"/>
    <col min="15107" max="15107" width="14.28515625" style="1" customWidth="1"/>
    <col min="15108" max="15108" width="6.7109375" style="1" customWidth="1"/>
    <col min="15109" max="15109" width="14.7109375" style="1" customWidth="1"/>
    <col min="15110" max="15110" width="6.7109375" style="1" customWidth="1"/>
    <col min="15111" max="15111" width="13.5703125" style="1" customWidth="1"/>
    <col min="15112" max="15112" width="8.5703125" style="1" customWidth="1"/>
    <col min="15113" max="15113" width="14.42578125" style="1" customWidth="1"/>
    <col min="15114" max="15114" width="6.42578125" style="1" customWidth="1"/>
    <col min="15115" max="15115" width="14.28515625" style="1" customWidth="1"/>
    <col min="15116" max="15116" width="6.5703125" style="1" customWidth="1"/>
    <col min="15117" max="15117" width="13.140625" style="1" customWidth="1"/>
    <col min="15118" max="15118" width="8.42578125" style="1" customWidth="1"/>
    <col min="15119" max="15360" width="9.140625" style="1"/>
    <col min="15361" max="15361" width="4.140625" style="1" customWidth="1"/>
    <col min="15362" max="15362" width="38.42578125" style="1" customWidth="1"/>
    <col min="15363" max="15363" width="14.28515625" style="1" customWidth="1"/>
    <col min="15364" max="15364" width="6.7109375" style="1" customWidth="1"/>
    <col min="15365" max="15365" width="14.7109375" style="1" customWidth="1"/>
    <col min="15366" max="15366" width="6.7109375" style="1" customWidth="1"/>
    <col min="15367" max="15367" width="13.5703125" style="1" customWidth="1"/>
    <col min="15368" max="15368" width="8.5703125" style="1" customWidth="1"/>
    <col min="15369" max="15369" width="14.42578125" style="1" customWidth="1"/>
    <col min="15370" max="15370" width="6.42578125" style="1" customWidth="1"/>
    <col min="15371" max="15371" width="14.28515625" style="1" customWidth="1"/>
    <col min="15372" max="15372" width="6.5703125" style="1" customWidth="1"/>
    <col min="15373" max="15373" width="13.140625" style="1" customWidth="1"/>
    <col min="15374" max="15374" width="8.42578125" style="1" customWidth="1"/>
    <col min="15375" max="15616" width="9.140625" style="1"/>
    <col min="15617" max="15617" width="4.140625" style="1" customWidth="1"/>
    <col min="15618" max="15618" width="38.42578125" style="1" customWidth="1"/>
    <col min="15619" max="15619" width="14.28515625" style="1" customWidth="1"/>
    <col min="15620" max="15620" width="6.7109375" style="1" customWidth="1"/>
    <col min="15621" max="15621" width="14.7109375" style="1" customWidth="1"/>
    <col min="15622" max="15622" width="6.7109375" style="1" customWidth="1"/>
    <col min="15623" max="15623" width="13.5703125" style="1" customWidth="1"/>
    <col min="15624" max="15624" width="8.5703125" style="1" customWidth="1"/>
    <col min="15625" max="15625" width="14.42578125" style="1" customWidth="1"/>
    <col min="15626" max="15626" width="6.42578125" style="1" customWidth="1"/>
    <col min="15627" max="15627" width="14.28515625" style="1" customWidth="1"/>
    <col min="15628" max="15628" width="6.5703125" style="1" customWidth="1"/>
    <col min="15629" max="15629" width="13.140625" style="1" customWidth="1"/>
    <col min="15630" max="15630" width="8.42578125" style="1" customWidth="1"/>
    <col min="15631" max="15872" width="9.140625" style="1"/>
    <col min="15873" max="15873" width="4.140625" style="1" customWidth="1"/>
    <col min="15874" max="15874" width="38.42578125" style="1" customWidth="1"/>
    <col min="15875" max="15875" width="14.28515625" style="1" customWidth="1"/>
    <col min="15876" max="15876" width="6.7109375" style="1" customWidth="1"/>
    <col min="15877" max="15877" width="14.7109375" style="1" customWidth="1"/>
    <col min="15878" max="15878" width="6.7109375" style="1" customWidth="1"/>
    <col min="15879" max="15879" width="13.5703125" style="1" customWidth="1"/>
    <col min="15880" max="15880" width="8.5703125" style="1" customWidth="1"/>
    <col min="15881" max="15881" width="14.42578125" style="1" customWidth="1"/>
    <col min="15882" max="15882" width="6.42578125" style="1" customWidth="1"/>
    <col min="15883" max="15883" width="14.28515625" style="1" customWidth="1"/>
    <col min="15884" max="15884" width="6.5703125" style="1" customWidth="1"/>
    <col min="15885" max="15885" width="13.140625" style="1" customWidth="1"/>
    <col min="15886" max="15886" width="8.42578125" style="1" customWidth="1"/>
    <col min="15887" max="16128" width="9.140625" style="1"/>
    <col min="16129" max="16129" width="4.140625" style="1" customWidth="1"/>
    <col min="16130" max="16130" width="38.42578125" style="1" customWidth="1"/>
    <col min="16131" max="16131" width="14.28515625" style="1" customWidth="1"/>
    <col min="16132" max="16132" width="6.7109375" style="1" customWidth="1"/>
    <col min="16133" max="16133" width="14.7109375" style="1" customWidth="1"/>
    <col min="16134" max="16134" width="6.7109375" style="1" customWidth="1"/>
    <col min="16135" max="16135" width="13.5703125" style="1" customWidth="1"/>
    <col min="16136" max="16136" width="8.5703125" style="1" customWidth="1"/>
    <col min="16137" max="16137" width="14.42578125" style="1" customWidth="1"/>
    <col min="16138" max="16138" width="6.42578125" style="1" customWidth="1"/>
    <col min="16139" max="16139" width="14.28515625" style="1" customWidth="1"/>
    <col min="16140" max="16140" width="6.5703125" style="1" customWidth="1"/>
    <col min="16141" max="16141" width="13.140625" style="1" customWidth="1"/>
    <col min="16142" max="16142" width="8.42578125" style="1" customWidth="1"/>
    <col min="16143" max="16384" width="9.140625" style="1"/>
  </cols>
  <sheetData>
    <row r="1" spans="1:14" s="2" customFormat="1" x14ac:dyDescent="0.2">
      <c r="A1" s="1"/>
    </row>
    <row r="2" spans="1:14" s="2" customFormat="1" x14ac:dyDescent="0.2">
      <c r="A2" s="1"/>
    </row>
    <row r="3" spans="1:14" s="2" customFormat="1" x14ac:dyDescent="0.2">
      <c r="A3" s="1"/>
    </row>
    <row r="4" spans="1:14" s="2" customFormat="1" ht="12" x14ac:dyDescent="0.2"/>
    <row r="5" spans="1:14" x14ac:dyDescent="0.2">
      <c r="A5" s="3" t="s">
        <v>0</v>
      </c>
      <c r="B5" s="3"/>
      <c r="C5" s="3"/>
      <c r="D5" s="3"/>
      <c r="E5" s="3"/>
      <c r="F5" s="3"/>
      <c r="G5" s="3"/>
      <c r="H5" s="3"/>
      <c r="I5" s="3"/>
      <c r="J5" s="3"/>
      <c r="K5" s="4"/>
      <c r="L5" s="4"/>
      <c r="M5" s="4"/>
      <c r="N5" s="4"/>
    </row>
    <row r="6" spans="1:14" x14ac:dyDescent="0.2">
      <c r="A6" s="3" t="s">
        <v>1</v>
      </c>
      <c r="B6" s="3"/>
      <c r="C6" s="3"/>
      <c r="D6" s="3"/>
      <c r="E6" s="3"/>
      <c r="F6" s="3"/>
      <c r="G6" s="3"/>
      <c r="H6" s="3"/>
      <c r="I6" s="3"/>
      <c r="J6" s="3"/>
      <c r="K6" s="4"/>
      <c r="L6" s="4"/>
      <c r="M6" s="4"/>
      <c r="N6" s="4"/>
    </row>
    <row r="7" spans="1:14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4"/>
      <c r="L7" s="4"/>
      <c r="M7" s="4"/>
      <c r="N7" s="4"/>
    </row>
    <row r="8" spans="1:14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4"/>
      <c r="L8" s="4"/>
      <c r="M8" s="4"/>
      <c r="N8" s="4"/>
    </row>
    <row r="9" spans="1:14" x14ac:dyDescent="0.2">
      <c r="A9" s="3"/>
      <c r="B9" s="3"/>
      <c r="C9" s="3"/>
      <c r="D9" s="3"/>
      <c r="E9" s="3"/>
      <c r="F9" s="3"/>
      <c r="G9" s="3"/>
      <c r="H9" s="3"/>
      <c r="I9" s="3"/>
      <c r="J9" s="3"/>
      <c r="K9" s="4"/>
      <c r="L9" s="4"/>
      <c r="M9" s="4"/>
      <c r="N9" s="4"/>
    </row>
    <row r="10" spans="1:14" x14ac:dyDescent="0.2">
      <c r="A10" s="5"/>
      <c r="B10" s="5"/>
      <c r="C10" s="5"/>
      <c r="D10" s="5"/>
      <c r="E10" s="5"/>
      <c r="F10" s="5"/>
      <c r="G10" s="5"/>
      <c r="H10" s="5"/>
      <c r="I10" s="5"/>
      <c r="J10" s="5"/>
      <c r="K10" s="6"/>
      <c r="L10" s="6"/>
      <c r="M10" s="7" t="s">
        <v>2</v>
      </c>
      <c r="N10" s="7"/>
    </row>
    <row r="11" spans="1:14" ht="16.5" customHeight="1" x14ac:dyDescent="0.2">
      <c r="A11" s="1199"/>
      <c r="B11" s="1199"/>
      <c r="C11" s="1200" t="s">
        <v>3</v>
      </c>
      <c r="D11" s="1201"/>
      <c r="E11" s="1202"/>
      <c r="F11" s="1202"/>
      <c r="G11" s="1202"/>
      <c r="H11" s="1203"/>
      <c r="I11" s="1201" t="s">
        <v>4</v>
      </c>
      <c r="J11" s="1201"/>
      <c r="K11" s="1202"/>
      <c r="L11" s="1202"/>
      <c r="M11" s="1202"/>
      <c r="N11" s="1203"/>
    </row>
    <row r="12" spans="1:14" x14ac:dyDescent="0.2">
      <c r="A12" s="1204"/>
      <c r="B12" s="1204"/>
      <c r="C12" s="373"/>
      <c r="D12" s="1205" t="s">
        <v>5</v>
      </c>
      <c r="E12" s="373"/>
      <c r="F12" s="1205" t="s">
        <v>5</v>
      </c>
      <c r="G12" s="373"/>
      <c r="H12" s="1205" t="s">
        <v>5</v>
      </c>
      <c r="I12" s="373"/>
      <c r="J12" s="1205" t="s">
        <v>5</v>
      </c>
      <c r="K12" s="373"/>
      <c r="L12" s="1205" t="s">
        <v>5</v>
      </c>
      <c r="M12" s="373"/>
      <c r="N12" s="1205" t="s">
        <v>5</v>
      </c>
    </row>
    <row r="13" spans="1:14" x14ac:dyDescent="0.2">
      <c r="A13" s="1206" t="s">
        <v>6</v>
      </c>
      <c r="B13" s="1206" t="s">
        <v>7</v>
      </c>
      <c r="C13" s="373"/>
      <c r="D13" s="1205" t="s">
        <v>8</v>
      </c>
      <c r="E13" s="373"/>
      <c r="F13" s="1205" t="s">
        <v>8</v>
      </c>
      <c r="G13" s="373"/>
      <c r="H13" s="1205" t="s">
        <v>8</v>
      </c>
      <c r="I13" s="373"/>
      <c r="J13" s="1205" t="s">
        <v>8</v>
      </c>
      <c r="K13" s="373"/>
      <c r="L13" s="1205" t="s">
        <v>8</v>
      </c>
      <c r="M13" s="373"/>
      <c r="N13" s="1205" t="s">
        <v>8</v>
      </c>
    </row>
    <row r="14" spans="1:14" x14ac:dyDescent="0.2">
      <c r="A14" s="1206"/>
      <c r="B14" s="1206"/>
      <c r="C14" s="373" t="s">
        <v>9</v>
      </c>
      <c r="D14" s="1205" t="s">
        <v>10</v>
      </c>
      <c r="E14" s="373" t="s">
        <v>11</v>
      </c>
      <c r="F14" s="1205" t="s">
        <v>10</v>
      </c>
      <c r="G14" s="373" t="s">
        <v>12</v>
      </c>
      <c r="H14" s="1205" t="s">
        <v>10</v>
      </c>
      <c r="I14" s="373" t="s">
        <v>9</v>
      </c>
      <c r="J14" s="1205" t="s">
        <v>13</v>
      </c>
      <c r="K14" s="373" t="s">
        <v>11</v>
      </c>
      <c r="L14" s="1205" t="s">
        <v>13</v>
      </c>
      <c r="M14" s="373" t="s">
        <v>12</v>
      </c>
      <c r="N14" s="1205" t="s">
        <v>13</v>
      </c>
    </row>
    <row r="15" spans="1:14" x14ac:dyDescent="0.2">
      <c r="A15" s="1207"/>
      <c r="B15" s="1207"/>
      <c r="C15" s="835"/>
      <c r="D15" s="1208" t="s">
        <v>14</v>
      </c>
      <c r="E15" s="835"/>
      <c r="F15" s="1208" t="s">
        <v>15</v>
      </c>
      <c r="G15" s="835"/>
      <c r="H15" s="1209" t="s">
        <v>16</v>
      </c>
      <c r="I15" s="835"/>
      <c r="J15" s="1208" t="s">
        <v>14</v>
      </c>
      <c r="K15" s="835"/>
      <c r="L15" s="1208" t="s">
        <v>15</v>
      </c>
      <c r="M15" s="835"/>
      <c r="N15" s="1209" t="s">
        <v>16</v>
      </c>
    </row>
    <row r="16" spans="1:14" ht="15" customHeight="1" x14ac:dyDescent="0.2">
      <c r="A16" s="1210" t="s">
        <v>17</v>
      </c>
      <c r="B16" s="1204" t="s">
        <v>18</v>
      </c>
      <c r="C16" s="1211">
        <f>SUM(C60,C102)</f>
        <v>21500</v>
      </c>
      <c r="D16" s="1212">
        <f>C16/C$44</f>
        <v>1.6447584943090262E-5</v>
      </c>
      <c r="E16" s="1211">
        <f>SUM(E60,E102)</f>
        <v>21500</v>
      </c>
      <c r="F16" s="1212">
        <f>E16/E$44</f>
        <v>2.1014344850308278E-5</v>
      </c>
      <c r="G16" s="1211">
        <f>SUM(G60,G102)</f>
        <v>0</v>
      </c>
      <c r="H16" s="1212">
        <f>G16/G$44</f>
        <v>0</v>
      </c>
      <c r="I16" s="1211">
        <f>SUM(I60,I102)</f>
        <v>12000</v>
      </c>
      <c r="J16" s="1212">
        <f>I16/I$44</f>
        <v>8.0796295290795004E-6</v>
      </c>
      <c r="K16" s="1211">
        <f>SUM(K60,K102)</f>
        <v>12000</v>
      </c>
      <c r="L16" s="1212">
        <f>K16/K$44</f>
        <v>1.1222504317955191E-5</v>
      </c>
      <c r="M16" s="1211">
        <f>SUM(M60,M102)</f>
        <v>0</v>
      </c>
      <c r="N16" s="1212">
        <f>M16/M$44</f>
        <v>0</v>
      </c>
    </row>
    <row r="17" spans="1:14" ht="15" customHeight="1" x14ac:dyDescent="0.2">
      <c r="A17" s="1210" t="s">
        <v>19</v>
      </c>
      <c r="B17" s="1204" t="s">
        <v>20</v>
      </c>
      <c r="C17" s="1211">
        <f>SUM(C61)</f>
        <v>55000</v>
      </c>
      <c r="D17" s="1212">
        <f>C17/C$44</f>
        <v>4.2075217296277413E-5</v>
      </c>
      <c r="E17" s="1211">
        <f>SUM(E61)</f>
        <v>0</v>
      </c>
      <c r="F17" s="1212">
        <f>E17/E$44</f>
        <v>0</v>
      </c>
      <c r="G17" s="1211">
        <f>SUM(G61)</f>
        <v>55000</v>
      </c>
      <c r="H17" s="1212">
        <f>G17/G$44</f>
        <v>1.936127897851886E-4</v>
      </c>
      <c r="I17" s="1211">
        <f>SUM(I61)</f>
        <v>132200</v>
      </c>
      <c r="J17" s="1212">
        <f>I17/I$44</f>
        <v>8.901058531202582E-5</v>
      </c>
      <c r="K17" s="1211">
        <f>SUM(K61)</f>
        <v>132200</v>
      </c>
      <c r="L17" s="1212">
        <f>K17/K$44</f>
        <v>1.2363458923613969E-4</v>
      </c>
      <c r="M17" s="1211">
        <f>SUM(M61)</f>
        <v>0</v>
      </c>
      <c r="N17" s="1212">
        <f>M17/M$44</f>
        <v>0</v>
      </c>
    </row>
    <row r="18" spans="1:14" ht="15" customHeight="1" x14ac:dyDescent="0.2">
      <c r="A18" s="1210" t="s">
        <v>21</v>
      </c>
      <c r="B18" s="1204" t="s">
        <v>22</v>
      </c>
      <c r="C18" s="1211"/>
      <c r="D18" s="1212"/>
      <c r="E18" s="1211"/>
      <c r="F18" s="1212"/>
      <c r="G18" s="1211"/>
      <c r="H18" s="1212"/>
      <c r="I18" s="1211"/>
      <c r="J18" s="1212"/>
      <c r="K18" s="1211"/>
      <c r="L18" s="1212"/>
      <c r="M18" s="1211"/>
      <c r="N18" s="1212"/>
    </row>
    <row r="19" spans="1:14" ht="15" customHeight="1" x14ac:dyDescent="0.2">
      <c r="A19" s="1210"/>
      <c r="B19" s="1204" t="s">
        <v>23</v>
      </c>
      <c r="C19" s="1211">
        <f>SUM(C62)</f>
        <v>15000</v>
      </c>
      <c r="D19" s="1212">
        <f t="shared" ref="D19:D24" si="0">C19/C$44</f>
        <v>1.1475059262621113E-5</v>
      </c>
      <c r="E19" s="1211">
        <f>SUM(E62)</f>
        <v>15000</v>
      </c>
      <c r="F19" s="1212"/>
      <c r="G19" s="1211">
        <f>SUM(G62)</f>
        <v>0</v>
      </c>
      <c r="H19" s="1212"/>
      <c r="I19" s="1211"/>
      <c r="J19" s="1212"/>
      <c r="K19" s="1211"/>
      <c r="L19" s="1212"/>
      <c r="M19" s="1211"/>
      <c r="N19" s="1212"/>
    </row>
    <row r="20" spans="1:14" ht="15" customHeight="1" x14ac:dyDescent="0.2">
      <c r="A20" s="1210" t="s">
        <v>24</v>
      </c>
      <c r="B20" s="1204" t="s">
        <v>25</v>
      </c>
      <c r="C20" s="1211">
        <f>SUM(C63)</f>
        <v>180167639.38</v>
      </c>
      <c r="D20" s="1212">
        <f t="shared" si="0"/>
        <v>0.13782895593946995</v>
      </c>
      <c r="E20" s="1211">
        <f>SUM(E63)</f>
        <v>16630368.439999999</v>
      </c>
      <c r="F20" s="1212">
        <f>E20/E$44</f>
        <v>1.6254711506318294E-2</v>
      </c>
      <c r="G20" s="1211">
        <f>SUM(G63)</f>
        <v>163537270.94</v>
      </c>
      <c r="H20" s="1212">
        <f>G20/G$44</f>
        <v>0.57568922291908464</v>
      </c>
      <c r="I20" s="1211">
        <f>SUM(I63)</f>
        <v>281212295.81999999</v>
      </c>
      <c r="J20" s="1212">
        <f>I20/I$44</f>
        <v>0.18934093077062594</v>
      </c>
      <c r="K20" s="1211">
        <f>SUM(K63)</f>
        <v>79667972.790000007</v>
      </c>
      <c r="L20" s="1212">
        <f>K20/K$44</f>
        <v>7.4506180719875983E-2</v>
      </c>
      <c r="M20" s="1211">
        <f>SUM(M63)</f>
        <v>201544323.03</v>
      </c>
      <c r="N20" s="1212">
        <f>M20/M$44</f>
        <v>0.48455543971592707</v>
      </c>
    </row>
    <row r="21" spans="1:14" ht="15" customHeight="1" x14ac:dyDescent="0.2">
      <c r="A21" s="1210" t="s">
        <v>26</v>
      </c>
      <c r="B21" s="1204" t="s">
        <v>27</v>
      </c>
      <c r="C21" s="1211">
        <f>SUM(C64)</f>
        <v>532587</v>
      </c>
      <c r="D21" s="1212">
        <f t="shared" si="0"/>
        <v>4.0743115916677273E-4</v>
      </c>
      <c r="E21" s="1211">
        <f>SUM(E64)</f>
        <v>532587</v>
      </c>
      <c r="F21" s="1212">
        <f>E21/E$44</f>
        <v>5.2055659910656442E-4</v>
      </c>
      <c r="G21" s="1211">
        <f>SUM(G64)</f>
        <v>0</v>
      </c>
      <c r="H21" s="1212">
        <f>G21/G$44</f>
        <v>0</v>
      </c>
      <c r="I21" s="1211">
        <f>SUM(I64)</f>
        <v>3242815.76</v>
      </c>
      <c r="J21" s="1212">
        <f>I21/I$44</f>
        <v>2.1833958309883648E-3</v>
      </c>
      <c r="K21" s="1211">
        <f>SUM(K64)</f>
        <v>3242815.76</v>
      </c>
      <c r="L21" s="1212">
        <f>K21/K$44</f>
        <v>3.032709489077762E-3</v>
      </c>
      <c r="M21" s="1211">
        <f>SUM(M64)</f>
        <v>0</v>
      </c>
      <c r="N21" s="1212">
        <f>M21/M$44</f>
        <v>0</v>
      </c>
    </row>
    <row r="22" spans="1:14" ht="15" customHeight="1" x14ac:dyDescent="0.2">
      <c r="A22" s="1210" t="s">
        <v>28</v>
      </c>
      <c r="B22" s="1204" t="s">
        <v>29</v>
      </c>
      <c r="C22" s="78">
        <f>SUM(C65,C103)</f>
        <v>100348889.83</v>
      </c>
      <c r="D22" s="1212">
        <f t="shared" si="0"/>
        <v>7.6767297182499139E-2</v>
      </c>
      <c r="E22" s="78">
        <f>SUM(E65,E103)</f>
        <v>35419570.359999999</v>
      </c>
      <c r="F22" s="1212">
        <f>E22/E$44</f>
        <v>3.4619491441618501E-2</v>
      </c>
      <c r="G22" s="78">
        <f>SUM(G65,G103)</f>
        <v>64929319.469999999</v>
      </c>
      <c r="H22" s="1212">
        <f>G22/G$44</f>
        <v>0.22856630329891753</v>
      </c>
      <c r="I22" s="78">
        <f>SUM(I65,I103)</f>
        <v>133252515.18000001</v>
      </c>
      <c r="J22" s="1212">
        <f>I22/I$44</f>
        <v>8.9719246372703523E-2</v>
      </c>
      <c r="K22" s="78">
        <f>SUM(K65,K103)</f>
        <v>36651582.520000003</v>
      </c>
      <c r="L22" s="1212">
        <f>K22/K$44</f>
        <v>3.4276878590882583E-2</v>
      </c>
      <c r="M22" s="78">
        <f>SUM(M65,M103)</f>
        <v>96600932.659999996</v>
      </c>
      <c r="N22" s="1212">
        <f>M22/M$44</f>
        <v>0.23224919808367653</v>
      </c>
    </row>
    <row r="23" spans="1:14" ht="15" customHeight="1" x14ac:dyDescent="0.2">
      <c r="A23" s="1210" t="s">
        <v>30</v>
      </c>
      <c r="B23" s="1204" t="s">
        <v>31</v>
      </c>
      <c r="C23" s="1211">
        <f>SUM(C66,C104)</f>
        <v>4454310</v>
      </c>
      <c r="D23" s="1212">
        <f t="shared" si="0"/>
        <v>3.4075647482723899E-3</v>
      </c>
      <c r="E23" s="1211">
        <f>SUM(E66,E104)</f>
        <v>4454310</v>
      </c>
      <c r="F23" s="1212">
        <f>E23/E$44</f>
        <v>4.3536933214035657E-3</v>
      </c>
      <c r="G23" s="1211">
        <f>SUM(G66,G104)</f>
        <v>0</v>
      </c>
      <c r="H23" s="1212">
        <f>G23/G$44</f>
        <v>0</v>
      </c>
      <c r="I23" s="1211">
        <f>SUM(I66,I104)</f>
        <v>7032540</v>
      </c>
      <c r="J23" s="1212">
        <f>I23/I$44</f>
        <v>4.7350264873693955E-3</v>
      </c>
      <c r="K23" s="1211">
        <f>SUM(K66,K104)</f>
        <v>6132540</v>
      </c>
      <c r="L23" s="1212">
        <f>K23/K$44</f>
        <v>5.7352047191694105E-3</v>
      </c>
      <c r="M23" s="1211">
        <f>SUM(M66,M104)</f>
        <v>900000</v>
      </c>
      <c r="N23" s="1212">
        <f>M23/M$44</f>
        <v>2.1637915133904347E-3</v>
      </c>
    </row>
    <row r="24" spans="1:14" ht="15" customHeight="1" x14ac:dyDescent="0.2">
      <c r="A24" s="1210" t="s">
        <v>32</v>
      </c>
      <c r="B24" s="1204" t="s">
        <v>33</v>
      </c>
      <c r="C24" s="1211">
        <f>SUM(C67,C90,C105)</f>
        <v>19340524.84</v>
      </c>
      <c r="D24" s="1212">
        <f t="shared" si="0"/>
        <v>1.4795577913946381E-2</v>
      </c>
      <c r="E24" s="1211">
        <f>SUM(E67,E90,E105)</f>
        <v>3295912.25</v>
      </c>
      <c r="F24" s="1212">
        <f>E24/E$44</f>
        <v>3.2214621682723475E-3</v>
      </c>
      <c r="G24" s="1211">
        <f>SUM(G67,G90,G105)</f>
        <v>16044612.59</v>
      </c>
      <c r="H24" s="1212">
        <f>G24/G$44</f>
        <v>5.6480767355862917E-2</v>
      </c>
      <c r="I24" s="1211">
        <f>SUM(I67,I90,I105)</f>
        <v>104435935.88</v>
      </c>
      <c r="J24" s="1212">
        <f>I24/I$44</f>
        <v>7.03169726194251E-2</v>
      </c>
      <c r="K24" s="1211">
        <f>SUM(K67,K90,K105)</f>
        <v>66384338.530000001</v>
      </c>
      <c r="L24" s="1212">
        <f>K24/K$44</f>
        <v>6.208321048312701E-2</v>
      </c>
      <c r="M24" s="1211">
        <f>SUM(M67,M90,M105)</f>
        <v>38051597.350000001</v>
      </c>
      <c r="N24" s="1212">
        <f>M24/M$44</f>
        <v>9.1484137129866624E-2</v>
      </c>
    </row>
    <row r="25" spans="1:14" ht="15" customHeight="1" x14ac:dyDescent="0.2">
      <c r="A25" s="1210" t="s">
        <v>34</v>
      </c>
      <c r="B25" s="1204" t="s">
        <v>35</v>
      </c>
      <c r="C25" s="1211"/>
      <c r="D25" s="1212"/>
      <c r="E25" s="1211"/>
      <c r="F25" s="1212"/>
      <c r="G25" s="1211"/>
      <c r="H25" s="1212"/>
      <c r="I25" s="1211"/>
      <c r="J25" s="1212"/>
      <c r="K25" s="1211"/>
      <c r="L25" s="1212"/>
      <c r="M25" s="1211"/>
      <c r="N25" s="1212"/>
    </row>
    <row r="26" spans="1:14" ht="15" customHeight="1" x14ac:dyDescent="0.2">
      <c r="A26" s="1210"/>
      <c r="B26" s="1204" t="s">
        <v>36</v>
      </c>
      <c r="C26" s="1211">
        <f>SUM(C92)</f>
        <v>14369</v>
      </c>
      <c r="D26" s="1212">
        <f>C26/C$44</f>
        <v>1.0992341769640184E-5</v>
      </c>
      <c r="E26" s="1211">
        <f>SUM(E92)</f>
        <v>14369</v>
      </c>
      <c r="F26" s="1212">
        <f>E26/E$44</f>
        <v>1.4044424239724635E-5</v>
      </c>
      <c r="G26" s="1211">
        <f>SUM(G92)</f>
        <v>0</v>
      </c>
      <c r="H26" s="1212">
        <f>G26/G$44</f>
        <v>0</v>
      </c>
      <c r="I26" s="1211">
        <f>SUM(I92)</f>
        <v>14369</v>
      </c>
      <c r="J26" s="1212">
        <f>I26/I$44</f>
        <v>9.6746830586119432E-6</v>
      </c>
      <c r="K26" s="1211">
        <f>SUM(K92)</f>
        <v>14369</v>
      </c>
      <c r="L26" s="1212">
        <f>K26/K$44</f>
        <v>1.3438013712058177E-5</v>
      </c>
      <c r="M26" s="1211">
        <f>SUM(M92)</f>
        <v>0</v>
      </c>
      <c r="N26" s="1212">
        <f>M26/M$44</f>
        <v>0</v>
      </c>
    </row>
    <row r="27" spans="1:14" ht="15" customHeight="1" x14ac:dyDescent="0.2">
      <c r="A27" s="1210" t="s">
        <v>37</v>
      </c>
      <c r="B27" s="1213" t="s">
        <v>38</v>
      </c>
      <c r="C27" s="1211">
        <f>SUM(C68,C106)</f>
        <v>142000</v>
      </c>
      <c r="D27" s="1212">
        <f>C27/C$44</f>
        <v>1.0863056101947986E-4</v>
      </c>
      <c r="E27" s="1211">
        <f>SUM(E68,E106)</f>
        <v>142000</v>
      </c>
      <c r="F27" s="1212">
        <f>E27/E$44</f>
        <v>1.3879241715087327E-4</v>
      </c>
      <c r="G27" s="1211">
        <f>SUM(G68,G106)</f>
        <v>0</v>
      </c>
      <c r="H27" s="1212">
        <f>G27/G$44</f>
        <v>0</v>
      </c>
      <c r="I27" s="1211">
        <f>SUM(I68,I106)</f>
        <v>142000</v>
      </c>
      <c r="J27" s="1212">
        <f>I27/I$44</f>
        <v>9.5608949427440743E-5</v>
      </c>
      <c r="K27" s="1211">
        <f>SUM(K68,K106)</f>
        <v>142000</v>
      </c>
      <c r="L27" s="1212">
        <f>K27/K$44</f>
        <v>1.3279963442913644E-4</v>
      </c>
      <c r="M27" s="1211">
        <f>SUM(M68,M106)</f>
        <v>0</v>
      </c>
      <c r="N27" s="1212">
        <f>M27/M$44</f>
        <v>0</v>
      </c>
    </row>
    <row r="28" spans="1:14" ht="15" customHeight="1" x14ac:dyDescent="0.2">
      <c r="A28" s="1210" t="s">
        <v>39</v>
      </c>
      <c r="B28" s="1204" t="s">
        <v>40</v>
      </c>
      <c r="C28" s="1211"/>
      <c r="D28" s="1212"/>
      <c r="E28" s="1211"/>
      <c r="F28" s="1212"/>
      <c r="G28" s="1211"/>
      <c r="H28" s="1212"/>
      <c r="I28" s="1211"/>
      <c r="J28" s="1212"/>
      <c r="K28" s="1211"/>
      <c r="L28" s="1212"/>
      <c r="M28" s="1211"/>
      <c r="N28" s="1212"/>
    </row>
    <row r="29" spans="1:14" ht="15" customHeight="1" x14ac:dyDescent="0.2">
      <c r="A29" s="1210"/>
      <c r="B29" s="1204" t="s">
        <v>41</v>
      </c>
      <c r="C29" s="1211">
        <f>SUM(C70,C108)</f>
        <v>21906203</v>
      </c>
      <c r="D29" s="1212">
        <f t="shared" ref="D29:D42" si="1">C29/C$44</f>
        <v>1.6758331842933894E-2</v>
      </c>
      <c r="E29" s="1211">
        <f>SUM(E70,E108)</f>
        <v>21906203</v>
      </c>
      <c r="F29" s="1212">
        <f t="shared" ref="F29:F42" si="2">E29/E$44</f>
        <v>2.1411372288505013E-2</v>
      </c>
      <c r="G29" s="1211">
        <f>SUM(G70,G108)</f>
        <v>0</v>
      </c>
      <c r="H29" s="1212">
        <f t="shared" ref="H29:H42" si="3">G29/G$44</f>
        <v>0</v>
      </c>
      <c r="I29" s="1211">
        <f>SUM(I70,I108)</f>
        <v>29726102.32</v>
      </c>
      <c r="J29" s="1212">
        <f t="shared" ref="J29:J42" si="4">I29/I$44</f>
        <v>2.0014657840759217E-2</v>
      </c>
      <c r="K29" s="1211">
        <f>SUM(K70,K108)</f>
        <v>29600102.32</v>
      </c>
      <c r="L29" s="1212">
        <f t="shared" ref="L29:L42" si="5">K29/K$44</f>
        <v>2.768227300817629E-2</v>
      </c>
      <c r="M29" s="1211">
        <f>SUM(M70,M108)</f>
        <v>126000</v>
      </c>
      <c r="N29" s="1212">
        <f t="shared" ref="N29:N42" si="6">M29/M$44</f>
        <v>3.0293081187466084E-4</v>
      </c>
    </row>
    <row r="30" spans="1:14" ht="15" customHeight="1" x14ac:dyDescent="0.2">
      <c r="A30" s="1210" t="s">
        <v>42</v>
      </c>
      <c r="B30" s="1204" t="s">
        <v>43</v>
      </c>
      <c r="C30" s="1211">
        <f>SUM(C109)</f>
        <v>302880</v>
      </c>
      <c r="D30" s="1212">
        <f t="shared" si="1"/>
        <v>2.3170439663084552E-4</v>
      </c>
      <c r="E30" s="1211">
        <f>SUM(E109)</f>
        <v>302880</v>
      </c>
      <c r="F30" s="1212">
        <f t="shared" si="2"/>
        <v>2.9603836131448239E-4</v>
      </c>
      <c r="G30" s="1211">
        <f>SUM(G109)</f>
        <v>0</v>
      </c>
      <c r="H30" s="1212">
        <f t="shared" si="3"/>
        <v>0</v>
      </c>
      <c r="I30" s="1211">
        <f>SUM(I109)</f>
        <v>302880</v>
      </c>
      <c r="J30" s="1212">
        <f t="shared" si="4"/>
        <v>2.0392984931396656E-4</v>
      </c>
      <c r="K30" s="1211">
        <f>SUM(K109)</f>
        <v>302880</v>
      </c>
      <c r="L30" s="1212">
        <f t="shared" si="5"/>
        <v>2.8325600898518902E-4</v>
      </c>
      <c r="M30" s="1211">
        <f>SUM(M109)</f>
        <v>0</v>
      </c>
      <c r="N30" s="1212">
        <f t="shared" si="6"/>
        <v>0</v>
      </c>
    </row>
    <row r="31" spans="1:14" ht="15" customHeight="1" x14ac:dyDescent="0.2">
      <c r="A31" s="1210" t="s">
        <v>44</v>
      </c>
      <c r="B31" s="1204" t="s">
        <v>45</v>
      </c>
      <c r="C31" s="78">
        <f>SUM(C71)</f>
        <v>712638902</v>
      </c>
      <c r="D31" s="1212">
        <f t="shared" si="1"/>
        <v>0.54517157555328266</v>
      </c>
      <c r="E31" s="78">
        <f>SUM(E71)</f>
        <v>712638902</v>
      </c>
      <c r="F31" s="1212">
        <f t="shared" si="2"/>
        <v>0.69654137862200216</v>
      </c>
      <c r="G31" s="78">
        <f>SUM(G71)</f>
        <v>0</v>
      </c>
      <c r="H31" s="1212">
        <f t="shared" si="3"/>
        <v>0</v>
      </c>
      <c r="I31" s="78">
        <f>SUM(I71)</f>
        <v>0</v>
      </c>
      <c r="J31" s="1212">
        <f t="shared" si="4"/>
        <v>0</v>
      </c>
      <c r="K31" s="78">
        <f>SUM(K71)</f>
        <v>0</v>
      </c>
      <c r="L31" s="1212">
        <f t="shared" si="5"/>
        <v>0</v>
      </c>
      <c r="M31" s="78">
        <f>SUM(M71)</f>
        <v>0</v>
      </c>
      <c r="N31" s="1212">
        <f t="shared" si="6"/>
        <v>0</v>
      </c>
    </row>
    <row r="32" spans="1:14" ht="15" customHeight="1" x14ac:dyDescent="0.2">
      <c r="A32" s="1210" t="s">
        <v>46</v>
      </c>
      <c r="B32" s="1204" t="s">
        <v>47</v>
      </c>
      <c r="C32" s="1211">
        <f>SUM(C72)</f>
        <v>0</v>
      </c>
      <c r="D32" s="1212">
        <f t="shared" si="1"/>
        <v>0</v>
      </c>
      <c r="E32" s="1211">
        <f>SUM(E72)</f>
        <v>0</v>
      </c>
      <c r="F32" s="1212">
        <f t="shared" si="2"/>
        <v>0</v>
      </c>
      <c r="G32" s="1211">
        <f>SUM(G72)</f>
        <v>0</v>
      </c>
      <c r="H32" s="1212">
        <f t="shared" si="3"/>
        <v>0</v>
      </c>
      <c r="I32" s="1211">
        <f>SUM(I72)</f>
        <v>34641419.719999999</v>
      </c>
      <c r="J32" s="1212">
        <f t="shared" si="4"/>
        <v>2.3324153141579072E-2</v>
      </c>
      <c r="K32" s="1211">
        <f>SUM(K72)</f>
        <v>34641419.719999999</v>
      </c>
      <c r="L32" s="1212">
        <f t="shared" si="5"/>
        <v>3.2396956865649841E-2</v>
      </c>
      <c r="M32" s="1211">
        <f>SUM(M72)</f>
        <v>0</v>
      </c>
      <c r="N32" s="1212">
        <f t="shared" si="6"/>
        <v>0</v>
      </c>
    </row>
    <row r="33" spans="1:14" ht="15" customHeight="1" x14ac:dyDescent="0.2">
      <c r="A33" s="1210" t="s">
        <v>48</v>
      </c>
      <c r="B33" s="1204" t="s">
        <v>49</v>
      </c>
      <c r="C33" s="78">
        <f>SUM(C73)</f>
        <v>81227882</v>
      </c>
      <c r="D33" s="1212">
        <f t="shared" si="1"/>
        <v>6.213965064847965E-2</v>
      </c>
      <c r="E33" s="78">
        <f>SUM(E73)</f>
        <v>81227882</v>
      </c>
      <c r="F33" s="1212">
        <f t="shared" si="2"/>
        <v>7.9393056921309227E-2</v>
      </c>
      <c r="G33" s="78">
        <f>SUM(G73)</f>
        <v>0</v>
      </c>
      <c r="H33" s="1212">
        <f t="shared" si="3"/>
        <v>0</v>
      </c>
      <c r="I33" s="78">
        <f>SUM(I73)</f>
        <v>57550000</v>
      </c>
      <c r="J33" s="1212">
        <f t="shared" si="4"/>
        <v>3.8748556616543764E-2</v>
      </c>
      <c r="K33" s="78">
        <f>SUM(K73)</f>
        <v>53000000</v>
      </c>
      <c r="L33" s="1212">
        <f t="shared" si="5"/>
        <v>4.9566060737635427E-2</v>
      </c>
      <c r="M33" s="78">
        <f>SUM(M73)</f>
        <v>4550000</v>
      </c>
      <c r="N33" s="1212">
        <f t="shared" si="6"/>
        <v>1.0939168206584976E-2</v>
      </c>
    </row>
    <row r="34" spans="1:14" ht="15" customHeight="1" x14ac:dyDescent="0.2">
      <c r="A34" s="1210" t="s">
        <v>50</v>
      </c>
      <c r="B34" s="1204" t="s">
        <v>51</v>
      </c>
      <c r="C34" s="78">
        <f>SUM(C74)</f>
        <v>7059860.8300000001</v>
      </c>
      <c r="D34" s="1212">
        <f t="shared" si="1"/>
        <v>5.400821427340499E-3</v>
      </c>
      <c r="E34" s="78">
        <f>SUM(E74)</f>
        <v>7057860.8300000001</v>
      </c>
      <c r="F34" s="1212">
        <f t="shared" si="2"/>
        <v>6.8984335528885126E-3</v>
      </c>
      <c r="G34" s="78">
        <f>SUM(G74)</f>
        <v>2000</v>
      </c>
      <c r="H34" s="1212">
        <f t="shared" si="3"/>
        <v>7.0404650830977673E-6</v>
      </c>
      <c r="I34" s="78">
        <f>SUM(I74)</f>
        <v>437785723.30000001</v>
      </c>
      <c r="J34" s="1212">
        <f t="shared" si="4"/>
        <v>0.29476220478200893</v>
      </c>
      <c r="K34" s="78">
        <f>SUM(K74)</f>
        <v>425125723.30000001</v>
      </c>
      <c r="L34" s="1212">
        <f t="shared" si="5"/>
        <v>0.39758127211733946</v>
      </c>
      <c r="M34" s="78">
        <f>SUM(M74)</f>
        <v>12660000</v>
      </c>
      <c r="N34" s="1212">
        <f t="shared" si="6"/>
        <v>3.0437333955025448E-2</v>
      </c>
    </row>
    <row r="35" spans="1:14" ht="15" customHeight="1" x14ac:dyDescent="0.2">
      <c r="A35" s="1210" t="s">
        <v>52</v>
      </c>
      <c r="B35" s="1204" t="s">
        <v>53</v>
      </c>
      <c r="C35" s="78">
        <f>SUM(C75,C93,C110)</f>
        <v>83500</v>
      </c>
      <c r="D35" s="1212">
        <f t="shared" si="1"/>
        <v>6.3877829895257534E-5</v>
      </c>
      <c r="E35" s="78">
        <f>SUM(E75,E93,E110)</f>
        <v>83500</v>
      </c>
      <c r="F35" s="1212">
        <f t="shared" si="2"/>
        <v>8.1613850930267037E-5</v>
      </c>
      <c r="G35" s="78">
        <f>SUM(G75,G93,G110)</f>
        <v>0</v>
      </c>
      <c r="H35" s="1212">
        <f t="shared" si="3"/>
        <v>0</v>
      </c>
      <c r="I35" s="78">
        <f>SUM(I75,I93,I110)</f>
        <v>6568783.8799999999</v>
      </c>
      <c r="J35" s="1212">
        <f t="shared" si="4"/>
        <v>4.4227783505824507E-3</v>
      </c>
      <c r="K35" s="78">
        <f>SUM(K75,K93,K110)</f>
        <v>6568783.8799999999</v>
      </c>
      <c r="L35" s="1212">
        <f t="shared" si="5"/>
        <v>6.1431837880845377E-3</v>
      </c>
      <c r="M35" s="78">
        <f>SUM(M75,M93,M110)</f>
        <v>0</v>
      </c>
      <c r="N35" s="1212">
        <f t="shared" si="6"/>
        <v>0</v>
      </c>
    </row>
    <row r="36" spans="1:14" ht="15" customHeight="1" x14ac:dyDescent="0.2">
      <c r="A36" s="1210" t="s">
        <v>54</v>
      </c>
      <c r="B36" s="1204" t="s">
        <v>55</v>
      </c>
      <c r="C36" s="78">
        <f>SUM(C76,C94,C111)</f>
        <v>32887766.649999999</v>
      </c>
      <c r="D36" s="1212">
        <f t="shared" si="1"/>
        <v>2.5159271421600279E-2</v>
      </c>
      <c r="E36" s="78">
        <f>SUM(E76,E94,E111)</f>
        <v>32887766.649999999</v>
      </c>
      <c r="F36" s="1212">
        <f t="shared" si="2"/>
        <v>3.2144877662305477E-2</v>
      </c>
      <c r="G36" s="78">
        <f>SUM(G76,G94,G111)</f>
        <v>0</v>
      </c>
      <c r="H36" s="1212">
        <f t="shared" si="3"/>
        <v>0</v>
      </c>
      <c r="I36" s="78">
        <f>SUM(I76,I94,I111)</f>
        <v>95124314.25</v>
      </c>
      <c r="J36" s="1212">
        <f t="shared" si="4"/>
        <v>6.4047434862311486E-2</v>
      </c>
      <c r="K36" s="78">
        <f>SUM(K76,K94,K111)</f>
        <v>94341922.25</v>
      </c>
      <c r="L36" s="1212">
        <f t="shared" si="5"/>
        <v>8.822938581790149E-2</v>
      </c>
      <c r="M36" s="78">
        <f>SUM(M76,M94,M111)</f>
        <v>782392</v>
      </c>
      <c r="N36" s="1212">
        <f t="shared" si="6"/>
        <v>1.8810368552717434E-3</v>
      </c>
    </row>
    <row r="37" spans="1:14" ht="15" customHeight="1" x14ac:dyDescent="0.2">
      <c r="A37" s="1210" t="s">
        <v>56</v>
      </c>
      <c r="B37" s="1204" t="s">
        <v>57</v>
      </c>
      <c r="C37" s="78">
        <f>SUM(C78,C113)</f>
        <v>5931545.5599999996</v>
      </c>
      <c r="D37" s="1212">
        <f t="shared" si="1"/>
        <v>4.537655787995809E-3</v>
      </c>
      <c r="E37" s="78">
        <f>SUM(E78,E113)</f>
        <v>5931545.5599999996</v>
      </c>
      <c r="F37" s="1212">
        <f t="shared" si="2"/>
        <v>5.7975601810769731E-3</v>
      </c>
      <c r="G37" s="78">
        <f>SUM(G78,G113)</f>
        <v>0</v>
      </c>
      <c r="H37" s="1212">
        <f t="shared" si="3"/>
        <v>0</v>
      </c>
      <c r="I37" s="78">
        <f>SUM(I78,I113)</f>
        <v>14956332.559999999</v>
      </c>
      <c r="J37" s="1212">
        <f t="shared" si="4"/>
        <v>1.0070135516542431E-2</v>
      </c>
      <c r="K37" s="78">
        <f>SUM(K78,K113)</f>
        <v>14835832.559999999</v>
      </c>
      <c r="L37" s="1212">
        <f t="shared" si="5"/>
        <v>1.3874599580421683E-2</v>
      </c>
      <c r="M37" s="78">
        <f>SUM(M78,M113)</f>
        <v>120500</v>
      </c>
      <c r="N37" s="1212">
        <f t="shared" si="6"/>
        <v>2.8970764151505266E-4</v>
      </c>
    </row>
    <row r="38" spans="1:14" ht="15" customHeight="1" x14ac:dyDescent="0.2">
      <c r="A38" s="1210" t="s">
        <v>58</v>
      </c>
      <c r="B38" s="1204" t="s">
        <v>59</v>
      </c>
      <c r="C38" s="78">
        <f>SUM(C79)</f>
        <v>7427235.4500000002</v>
      </c>
      <c r="D38" s="1212">
        <f t="shared" si="1"/>
        <v>5.6818644630793596E-3</v>
      </c>
      <c r="E38" s="78">
        <f>SUM(E79)</f>
        <v>385146</v>
      </c>
      <c r="F38" s="1212">
        <f t="shared" si="2"/>
        <v>3.7644608659148058E-4</v>
      </c>
      <c r="G38" s="78">
        <f>SUM(G79)</f>
        <v>7042089.4500000002</v>
      </c>
      <c r="H38" s="1212">
        <f t="shared" si="3"/>
        <v>2.4789792442388082E-2</v>
      </c>
      <c r="I38" s="78">
        <f>SUM(I79)</f>
        <v>36690193.780000001</v>
      </c>
      <c r="J38" s="1212">
        <f t="shared" si="4"/>
        <v>2.4703597757711415E-2</v>
      </c>
      <c r="K38" s="78">
        <f>SUM(K79)</f>
        <v>23473193.780000001</v>
      </c>
      <c r="L38" s="1212">
        <f t="shared" si="5"/>
        <v>2.195233487935408E-2</v>
      </c>
      <c r="M38" s="78">
        <f>SUM(M79)</f>
        <v>13217000</v>
      </c>
      <c r="N38" s="1212">
        <f t="shared" si="6"/>
        <v>3.1776480480534865E-2</v>
      </c>
    </row>
    <row r="39" spans="1:14" ht="15" customHeight="1" x14ac:dyDescent="0.2">
      <c r="A39" s="1210" t="s">
        <v>60</v>
      </c>
      <c r="B39" s="1204" t="s">
        <v>61</v>
      </c>
      <c r="C39" s="78">
        <f>SUM(C80,C95,C114)</f>
        <v>52948302</v>
      </c>
      <c r="D39" s="1212">
        <f t="shared" si="1"/>
        <v>4.0505660220343999E-2</v>
      </c>
      <c r="E39" s="78">
        <f>SUM(E80,E95,E114)</f>
        <v>52948302</v>
      </c>
      <c r="F39" s="1212">
        <f t="shared" si="2"/>
        <v>5.1752273370524071E-2</v>
      </c>
      <c r="G39" s="78">
        <f>SUM(G80,G95,G114)</f>
        <v>0</v>
      </c>
      <c r="H39" s="1212">
        <f t="shared" si="3"/>
        <v>0</v>
      </c>
      <c r="I39" s="78">
        <f>SUM(I80,I95,I114)</f>
        <v>82577099.140000001</v>
      </c>
      <c r="J39" s="1212">
        <f t="shared" si="4"/>
        <v>5.5599364053105782E-2</v>
      </c>
      <c r="K39" s="78">
        <f>SUM(K80,K95,K114)</f>
        <v>80478099.140000001</v>
      </c>
      <c r="L39" s="1212">
        <f t="shared" si="5"/>
        <v>7.526381792495633E-2</v>
      </c>
      <c r="M39" s="78">
        <f>SUM(M80,M95,M114)</f>
        <v>2099000</v>
      </c>
      <c r="N39" s="1212">
        <f t="shared" si="6"/>
        <v>5.0464426517850252E-3</v>
      </c>
    </row>
    <row r="40" spans="1:14" ht="15" customHeight="1" x14ac:dyDescent="0.2">
      <c r="A40" s="1210" t="s">
        <v>62</v>
      </c>
      <c r="B40" s="1204" t="s">
        <v>63</v>
      </c>
      <c r="C40" s="1211">
        <f t="shared" ref="C40:E42" si="7">SUM(C82)</f>
        <v>74157363</v>
      </c>
      <c r="D40" s="1212">
        <f t="shared" si="1"/>
        <v>5.6730675678980415E-2</v>
      </c>
      <c r="E40" s="1211">
        <f>SUM(E82)</f>
        <v>42939620</v>
      </c>
      <c r="F40" s="1212">
        <f t="shared" si="2"/>
        <v>4.1969673600985788E-2</v>
      </c>
      <c r="G40" s="1211">
        <f>SUM(G82)</f>
        <v>31217743</v>
      </c>
      <c r="H40" s="1212">
        <f t="shared" si="3"/>
        <v>0.10989371478230987</v>
      </c>
      <c r="I40" s="1211">
        <f t="shared" ref="I40:K42" si="8">SUM(I82)</f>
        <v>101397879.21000001</v>
      </c>
      <c r="J40" s="1212">
        <f t="shared" si="4"/>
        <v>6.827144158759603E-2</v>
      </c>
      <c r="K40" s="1211">
        <f t="shared" si="8"/>
        <v>65230097.210000001</v>
      </c>
      <c r="L40" s="1212">
        <f t="shared" si="5"/>
        <v>6.1003753966655153E-2</v>
      </c>
      <c r="M40" s="1211">
        <f>SUM(M82)</f>
        <v>36167782</v>
      </c>
      <c r="N40" s="1212">
        <f t="shared" si="6"/>
        <v>8.695504416639481E-2</v>
      </c>
    </row>
    <row r="41" spans="1:14" ht="15" customHeight="1" x14ac:dyDescent="0.2">
      <c r="A41" s="1210" t="s">
        <v>64</v>
      </c>
      <c r="B41" s="1204" t="s">
        <v>65</v>
      </c>
      <c r="C41" s="1211">
        <f t="shared" si="7"/>
        <v>0</v>
      </c>
      <c r="D41" s="1212">
        <f t="shared" si="1"/>
        <v>0</v>
      </c>
      <c r="E41" s="1211">
        <f t="shared" si="7"/>
        <v>0</v>
      </c>
      <c r="F41" s="1212">
        <f t="shared" si="2"/>
        <v>0</v>
      </c>
      <c r="G41" s="1211">
        <f>SUM(G83)</f>
        <v>0</v>
      </c>
      <c r="H41" s="1212">
        <f t="shared" si="3"/>
        <v>0</v>
      </c>
      <c r="I41" s="1211">
        <f t="shared" si="8"/>
        <v>22956703.59</v>
      </c>
      <c r="J41" s="1212">
        <f t="shared" si="4"/>
        <v>1.5456805018007447E-2</v>
      </c>
      <c r="K41" s="1211">
        <f t="shared" si="8"/>
        <v>22879670</v>
      </c>
      <c r="L41" s="1212">
        <f t="shared" si="5"/>
        <v>2.1397266280699153E-2</v>
      </c>
      <c r="M41" s="1211">
        <f>SUM(M83)</f>
        <v>77033.59</v>
      </c>
      <c r="N41" s="1212">
        <f t="shared" si="6"/>
        <v>1.8520514254222027E-4</v>
      </c>
    </row>
    <row r="42" spans="1:14" ht="15" customHeight="1" x14ac:dyDescent="0.2">
      <c r="A42" s="1214" t="s">
        <v>66</v>
      </c>
      <c r="B42" s="1215" t="s">
        <v>67</v>
      </c>
      <c r="C42" s="1216">
        <f t="shared" si="7"/>
        <v>5519531</v>
      </c>
      <c r="D42" s="1217">
        <f t="shared" si="1"/>
        <v>4.222463021791625E-3</v>
      </c>
      <c r="E42" s="1216">
        <f>SUM(E84)</f>
        <v>4275424</v>
      </c>
      <c r="F42" s="1217">
        <f t="shared" si="2"/>
        <v>4.1788481077806704E-3</v>
      </c>
      <c r="G42" s="1216">
        <f>SUM(G84)</f>
        <v>1244107</v>
      </c>
      <c r="H42" s="1217">
        <f t="shared" si="3"/>
        <v>4.3795459465687568E-3</v>
      </c>
      <c r="I42" s="1216">
        <f t="shared" si="8"/>
        <v>35462509.18</v>
      </c>
      <c r="J42" s="1217">
        <f t="shared" si="4"/>
        <v>2.3876994695498401E-2</v>
      </c>
      <c r="K42" s="1216">
        <f t="shared" si="8"/>
        <v>26422509.18</v>
      </c>
      <c r="L42" s="1217">
        <f t="shared" si="5"/>
        <v>2.471056028031339E-2</v>
      </c>
      <c r="M42" s="1216">
        <f>SUM(M84)</f>
        <v>9040000</v>
      </c>
      <c r="N42" s="1217">
        <f t="shared" si="6"/>
        <v>2.1734083645610587E-2</v>
      </c>
    </row>
    <row r="43" spans="1:14" ht="9.75" customHeight="1" x14ac:dyDescent="0.2">
      <c r="A43" s="1218"/>
      <c r="B43" s="1213"/>
      <c r="C43" s="78"/>
      <c r="D43" s="1219"/>
      <c r="E43" s="78"/>
      <c r="F43" s="1219"/>
      <c r="G43" s="78"/>
      <c r="H43" s="1212"/>
      <c r="I43" s="78"/>
      <c r="J43" s="79"/>
      <c r="K43" s="78"/>
      <c r="L43" s="1220"/>
      <c r="M43" s="1221"/>
      <c r="N43" s="1222"/>
    </row>
    <row r="44" spans="1:14" x14ac:dyDescent="0.2">
      <c r="A44" s="1223"/>
      <c r="B44" s="1224" t="s">
        <v>68</v>
      </c>
      <c r="C44" s="1225">
        <f>SUM(C16:C42)</f>
        <v>1307182791.54</v>
      </c>
      <c r="D44" s="1226">
        <f>C44/C44</f>
        <v>1</v>
      </c>
      <c r="E44" s="1225">
        <f>SUM(E16:E42)</f>
        <v>1023110649.0899999</v>
      </c>
      <c r="F44" s="1226">
        <f>E44/E44</f>
        <v>1</v>
      </c>
      <c r="G44" s="1225">
        <f>SUM(G16:G42)</f>
        <v>284072142.44999999</v>
      </c>
      <c r="H44" s="1226">
        <f>G44/G44</f>
        <v>1</v>
      </c>
      <c r="I44" s="1225">
        <f>SUM(I16:I42)</f>
        <v>1485216612.5700002</v>
      </c>
      <c r="J44" s="1226">
        <f>I44/I44</f>
        <v>1</v>
      </c>
      <c r="K44" s="1225">
        <f>SUM(K16:K42)</f>
        <v>1069280051.9399999</v>
      </c>
      <c r="L44" s="1226">
        <f>K44/K44</f>
        <v>1</v>
      </c>
      <c r="M44" s="1225">
        <f>SUM(M16:M42)</f>
        <v>415936560.63</v>
      </c>
      <c r="N44" s="1226">
        <f>M44/M44</f>
        <v>1</v>
      </c>
    </row>
    <row r="45" spans="1:14" ht="8.25" customHeight="1" x14ac:dyDescent="0.2">
      <c r="A45" s="1227"/>
      <c r="B45" s="1228"/>
      <c r="C45" s="1229"/>
      <c r="D45" s="1230"/>
      <c r="E45" s="1229"/>
      <c r="F45" s="1230"/>
      <c r="G45" s="1229"/>
      <c r="H45" s="1230"/>
      <c r="I45" s="1229"/>
      <c r="J45" s="1231"/>
      <c r="K45" s="1229"/>
      <c r="L45" s="1231"/>
      <c r="M45" s="1229"/>
      <c r="N45" s="1231"/>
    </row>
    <row r="46" spans="1:14" s="5" customFormat="1" ht="15" customHeight="1" x14ac:dyDescent="0.2">
      <c r="D46" s="30"/>
      <c r="F46" s="30"/>
      <c r="H46" s="30"/>
      <c r="M46" s="31"/>
    </row>
    <row r="47" spans="1:14" s="5" customFormat="1" ht="15" customHeight="1" x14ac:dyDescent="0.2">
      <c r="D47" s="30"/>
      <c r="F47" s="30"/>
      <c r="H47" s="30"/>
      <c r="M47" s="31"/>
    </row>
    <row r="48" spans="1:14" s="5" customFormat="1" ht="15" customHeight="1" x14ac:dyDescent="0.2">
      <c r="D48" s="30"/>
      <c r="F48" s="30"/>
      <c r="H48" s="30"/>
      <c r="M48" s="31"/>
    </row>
    <row r="49" spans="1:14" s="5" customFormat="1" ht="15" customHeight="1" x14ac:dyDescent="0.2">
      <c r="D49" s="30"/>
      <c r="F49" s="30"/>
      <c r="H49" s="30"/>
      <c r="M49" s="31"/>
    </row>
    <row r="50" spans="1:14" s="5" customFormat="1" ht="16.5" customHeight="1" x14ac:dyDescent="0.2">
      <c r="A50" s="3"/>
      <c r="B50" s="3"/>
      <c r="C50" s="3"/>
      <c r="D50" s="32"/>
      <c r="E50" s="3"/>
      <c r="F50" s="32"/>
      <c r="G50" s="3"/>
      <c r="H50" s="32"/>
      <c r="I50" s="3"/>
      <c r="J50" s="3"/>
      <c r="K50" s="4"/>
      <c r="L50" s="4"/>
      <c r="M50" s="4"/>
      <c r="N50" s="4"/>
    </row>
    <row r="51" spans="1:14" s="33" customFormat="1" ht="15.75" customHeight="1" x14ac:dyDescent="0.2">
      <c r="D51" s="30"/>
      <c r="F51" s="30"/>
      <c r="H51" s="30"/>
      <c r="K51" s="34"/>
      <c r="L51" s="34"/>
      <c r="M51" s="35"/>
      <c r="N51" s="35" t="s">
        <v>2</v>
      </c>
    </row>
    <row r="52" spans="1:14" s="5" customFormat="1" ht="12" x14ac:dyDescent="0.2">
      <c r="A52" s="8"/>
      <c r="B52" s="8"/>
      <c r="C52" s="36" t="s">
        <v>3</v>
      </c>
      <c r="D52" s="37"/>
      <c r="E52" s="38"/>
      <c r="F52" s="39"/>
      <c r="G52" s="38"/>
      <c r="H52" s="40"/>
      <c r="I52" s="41" t="s">
        <v>4</v>
      </c>
      <c r="J52" s="41"/>
      <c r="K52" s="38"/>
      <c r="L52" s="38"/>
      <c r="M52" s="38"/>
      <c r="N52" s="42"/>
    </row>
    <row r="53" spans="1:14" s="5" customFormat="1" ht="12" x14ac:dyDescent="0.2">
      <c r="A53" s="9"/>
      <c r="B53" s="9"/>
      <c r="C53" s="10"/>
      <c r="D53" s="11" t="s">
        <v>5</v>
      </c>
      <c r="E53" s="10"/>
      <c r="F53" s="11" t="s">
        <v>5</v>
      </c>
      <c r="G53" s="10"/>
      <c r="H53" s="11" t="s">
        <v>5</v>
      </c>
      <c r="I53" s="10"/>
      <c r="J53" s="11" t="s">
        <v>5</v>
      </c>
      <c r="K53" s="10"/>
      <c r="L53" s="11" t="s">
        <v>5</v>
      </c>
      <c r="M53" s="10"/>
      <c r="N53" s="11" t="s">
        <v>5</v>
      </c>
    </row>
    <row r="54" spans="1:14" s="5" customFormat="1" ht="12" x14ac:dyDescent="0.2">
      <c r="A54" s="12" t="s">
        <v>6</v>
      </c>
      <c r="B54" s="12" t="s">
        <v>7</v>
      </c>
      <c r="C54" s="10"/>
      <c r="D54" s="11" t="s">
        <v>8</v>
      </c>
      <c r="E54" s="10"/>
      <c r="F54" s="11" t="s">
        <v>8</v>
      </c>
      <c r="G54" s="10"/>
      <c r="H54" s="11" t="s">
        <v>8</v>
      </c>
      <c r="I54" s="10"/>
      <c r="J54" s="11" t="s">
        <v>8</v>
      </c>
      <c r="K54" s="10"/>
      <c r="L54" s="11" t="s">
        <v>8</v>
      </c>
      <c r="M54" s="10"/>
      <c r="N54" s="11" t="s">
        <v>8</v>
      </c>
    </row>
    <row r="55" spans="1:14" s="5" customFormat="1" ht="12" x14ac:dyDescent="0.2">
      <c r="A55" s="12"/>
      <c r="B55" s="12"/>
      <c r="C55" s="10" t="s">
        <v>9</v>
      </c>
      <c r="D55" s="11" t="s">
        <v>10</v>
      </c>
      <c r="E55" s="10" t="s">
        <v>11</v>
      </c>
      <c r="F55" s="11" t="s">
        <v>10</v>
      </c>
      <c r="G55" s="10" t="s">
        <v>12</v>
      </c>
      <c r="H55" s="11" t="s">
        <v>10</v>
      </c>
      <c r="I55" s="10" t="s">
        <v>9</v>
      </c>
      <c r="J55" s="11" t="s">
        <v>13</v>
      </c>
      <c r="K55" s="10" t="s">
        <v>11</v>
      </c>
      <c r="L55" s="11" t="s">
        <v>13</v>
      </c>
      <c r="M55" s="10" t="s">
        <v>12</v>
      </c>
      <c r="N55" s="11" t="s">
        <v>13</v>
      </c>
    </row>
    <row r="56" spans="1:14" s="5" customFormat="1" ht="12" x14ac:dyDescent="0.2">
      <c r="A56" s="12"/>
      <c r="B56" s="12"/>
      <c r="C56" s="10"/>
      <c r="D56" s="43" t="s">
        <v>14</v>
      </c>
      <c r="E56" s="10"/>
      <c r="F56" s="43" t="s">
        <v>15</v>
      </c>
      <c r="G56" s="10"/>
      <c r="H56" s="11" t="s">
        <v>16</v>
      </c>
      <c r="I56" s="10"/>
      <c r="J56" s="43" t="s">
        <v>14</v>
      </c>
      <c r="K56" s="10"/>
      <c r="L56" s="43" t="s">
        <v>15</v>
      </c>
      <c r="M56" s="10"/>
      <c r="N56" s="11" t="s">
        <v>16</v>
      </c>
    </row>
    <row r="57" spans="1:14" s="5" customFormat="1" ht="4.5" customHeight="1" x14ac:dyDescent="0.2">
      <c r="A57" s="21"/>
      <c r="B57" s="21"/>
      <c r="C57" s="13"/>
      <c r="D57" s="14"/>
      <c r="E57" s="13"/>
      <c r="F57" s="14"/>
      <c r="H57" s="14"/>
      <c r="I57" s="13"/>
      <c r="J57" s="14"/>
      <c r="K57" s="13"/>
      <c r="L57" s="14"/>
      <c r="N57" s="14"/>
    </row>
    <row r="58" spans="1:14" s="30" customFormat="1" ht="9.75" x14ac:dyDescent="0.2">
      <c r="A58" s="44">
        <v>1</v>
      </c>
      <c r="B58" s="44">
        <v>2</v>
      </c>
      <c r="C58" s="44">
        <v>3</v>
      </c>
      <c r="D58" s="44">
        <v>4</v>
      </c>
      <c r="E58" s="44">
        <v>5</v>
      </c>
      <c r="F58" s="44">
        <v>6</v>
      </c>
      <c r="G58" s="44">
        <v>7</v>
      </c>
      <c r="H58" s="44">
        <v>8</v>
      </c>
      <c r="I58" s="44">
        <v>9</v>
      </c>
      <c r="J58" s="44">
        <v>10</v>
      </c>
      <c r="K58" s="44">
        <v>11</v>
      </c>
      <c r="L58" s="45">
        <v>12</v>
      </c>
      <c r="M58" s="45">
        <v>13</v>
      </c>
      <c r="N58" s="44">
        <v>14</v>
      </c>
    </row>
    <row r="59" spans="1:14" s="5" customFormat="1" ht="17.25" customHeight="1" x14ac:dyDescent="0.2">
      <c r="A59" s="9"/>
      <c r="B59" s="46" t="s">
        <v>69</v>
      </c>
      <c r="C59" s="12"/>
      <c r="D59" s="11"/>
      <c r="E59" s="12"/>
      <c r="F59" s="11"/>
      <c r="G59" s="12"/>
      <c r="H59" s="11"/>
      <c r="I59" s="12"/>
      <c r="J59" s="12"/>
      <c r="K59" s="12"/>
      <c r="L59" s="47"/>
      <c r="M59" s="48"/>
      <c r="N59" s="27"/>
    </row>
    <row r="60" spans="1:14" s="5" customFormat="1" ht="14.25" customHeight="1" x14ac:dyDescent="0.2">
      <c r="A60" s="15" t="s">
        <v>17</v>
      </c>
      <c r="B60" s="9" t="s">
        <v>18</v>
      </c>
      <c r="C60" s="16">
        <f t="shared" ref="C60:C68" si="9">SUM(E60,G60)</f>
        <v>11500</v>
      </c>
      <c r="D60" s="49"/>
      <c r="E60" s="16">
        <v>11500</v>
      </c>
      <c r="F60" s="17"/>
      <c r="G60" s="16"/>
      <c r="H60" s="17"/>
      <c r="I60" s="16">
        <f>SUM(K60,M60)</f>
        <v>2000</v>
      </c>
      <c r="J60" s="50"/>
      <c r="K60" s="16">
        <v>2000</v>
      </c>
      <c r="L60" s="51"/>
      <c r="M60" s="16">
        <v>0</v>
      </c>
      <c r="N60" s="27"/>
    </row>
    <row r="61" spans="1:14" s="5" customFormat="1" ht="12" customHeight="1" x14ac:dyDescent="0.2">
      <c r="A61" s="15" t="s">
        <v>19</v>
      </c>
      <c r="B61" s="9" t="s">
        <v>20</v>
      </c>
      <c r="C61" s="16">
        <f t="shared" si="9"/>
        <v>55000</v>
      </c>
      <c r="D61" s="52"/>
      <c r="E61" s="16"/>
      <c r="F61" s="52"/>
      <c r="G61" s="16">
        <v>55000</v>
      </c>
      <c r="H61" s="53"/>
      <c r="I61" s="16">
        <f t="shared" ref="I61:I76" si="10">SUM(K61,M61)</f>
        <v>132200</v>
      </c>
      <c r="J61" s="50"/>
      <c r="K61" s="16">
        <v>132200</v>
      </c>
      <c r="L61" s="51"/>
      <c r="M61" s="16">
        <v>0</v>
      </c>
      <c r="N61" s="27"/>
    </row>
    <row r="62" spans="1:14" s="5" customFormat="1" ht="12" customHeight="1" x14ac:dyDescent="0.2">
      <c r="A62" s="15" t="s">
        <v>21</v>
      </c>
      <c r="B62" s="9" t="s">
        <v>70</v>
      </c>
      <c r="C62" s="16">
        <f t="shared" si="9"/>
        <v>15000</v>
      </c>
      <c r="D62" s="52"/>
      <c r="E62" s="16">
        <v>15000</v>
      </c>
      <c r="F62" s="52"/>
      <c r="G62" s="16"/>
      <c r="H62" s="53"/>
      <c r="I62" s="16"/>
      <c r="J62" s="50"/>
      <c r="K62" s="16"/>
      <c r="L62" s="51"/>
      <c r="M62" s="16"/>
      <c r="N62" s="27"/>
    </row>
    <row r="63" spans="1:14" s="5" customFormat="1" ht="12" x14ac:dyDescent="0.2">
      <c r="A63" s="15" t="s">
        <v>24</v>
      </c>
      <c r="B63" s="9" t="s">
        <v>25</v>
      </c>
      <c r="C63" s="16">
        <f t="shared" si="9"/>
        <v>180167639.38</v>
      </c>
      <c r="D63" s="49"/>
      <c r="E63" s="16">
        <f>13834148.44+2796220</f>
        <v>16630368.439999999</v>
      </c>
      <c r="F63" s="49"/>
      <c r="G63" s="16">
        <f>91032278.46+72504992.48</f>
        <v>163537270.94</v>
      </c>
      <c r="H63" s="17"/>
      <c r="I63" s="16">
        <f t="shared" si="10"/>
        <v>281212295.81999999</v>
      </c>
      <c r="J63" s="50"/>
      <c r="K63" s="16">
        <f>67286966.79+12381006</f>
        <v>79667972.790000007</v>
      </c>
      <c r="L63" s="51"/>
      <c r="M63" s="16">
        <f>119977322.73+81567000.3</f>
        <v>201544323.03</v>
      </c>
      <c r="N63" s="27"/>
    </row>
    <row r="64" spans="1:14" s="5" customFormat="1" ht="12" x14ac:dyDescent="0.2">
      <c r="A64" s="15" t="s">
        <v>26</v>
      </c>
      <c r="B64" s="9" t="s">
        <v>71</v>
      </c>
      <c r="C64" s="16">
        <f t="shared" si="9"/>
        <v>532587</v>
      </c>
      <c r="D64" s="49"/>
      <c r="E64" s="16">
        <v>532587</v>
      </c>
      <c r="F64" s="49"/>
      <c r="G64" s="16"/>
      <c r="H64" s="17"/>
      <c r="I64" s="16">
        <f t="shared" si="10"/>
        <v>3242815.76</v>
      </c>
      <c r="J64" s="50"/>
      <c r="K64" s="16">
        <v>3242815.76</v>
      </c>
      <c r="L64" s="51"/>
      <c r="M64" s="16">
        <v>0</v>
      </c>
      <c r="N64" s="27"/>
    </row>
    <row r="65" spans="1:14" s="5" customFormat="1" ht="12" customHeight="1" x14ac:dyDescent="0.2">
      <c r="A65" s="15" t="s">
        <v>28</v>
      </c>
      <c r="B65" s="9" t="s">
        <v>29</v>
      </c>
      <c r="C65" s="16">
        <f t="shared" si="9"/>
        <v>99797889.829999998</v>
      </c>
      <c r="D65" s="24"/>
      <c r="E65" s="18">
        <f>34468570.36+400000</f>
        <v>34868570.359999999</v>
      </c>
      <c r="F65" s="24"/>
      <c r="G65" s="18">
        <v>64929319.469999999</v>
      </c>
      <c r="H65" s="17"/>
      <c r="I65" s="16">
        <f t="shared" si="10"/>
        <v>132701515.18000001</v>
      </c>
      <c r="J65" s="25"/>
      <c r="K65" s="18">
        <f>36100082.52+500</f>
        <v>36100582.520000003</v>
      </c>
      <c r="L65" s="26"/>
      <c r="M65" s="26">
        <v>96600932.659999996</v>
      </c>
      <c r="N65" s="27"/>
    </row>
    <row r="66" spans="1:14" s="5" customFormat="1" ht="12" x14ac:dyDescent="0.2">
      <c r="A66" s="15" t="s">
        <v>30</v>
      </c>
      <c r="B66" s="9" t="s">
        <v>31</v>
      </c>
      <c r="C66" s="16">
        <f t="shared" si="9"/>
        <v>3040370</v>
      </c>
      <c r="D66" s="49"/>
      <c r="E66" s="16">
        <f>3040370</f>
        <v>3040370</v>
      </c>
      <c r="F66" s="49"/>
      <c r="G66" s="16"/>
      <c r="H66" s="17"/>
      <c r="I66" s="16">
        <f t="shared" si="10"/>
        <v>5618600</v>
      </c>
      <c r="J66" s="50"/>
      <c r="K66" s="16">
        <f>4640100+78500</f>
        <v>4718600</v>
      </c>
      <c r="L66" s="51"/>
      <c r="M66" s="16">
        <v>900000</v>
      </c>
      <c r="N66" s="27"/>
    </row>
    <row r="67" spans="1:14" s="5" customFormat="1" ht="12" x14ac:dyDescent="0.2">
      <c r="A67" s="15" t="s">
        <v>32</v>
      </c>
      <c r="B67" s="9" t="s">
        <v>33</v>
      </c>
      <c r="C67" s="16">
        <f t="shared" si="9"/>
        <v>16738972.84</v>
      </c>
      <c r="D67" s="49"/>
      <c r="E67" s="16">
        <f>679260.25+15100</f>
        <v>694360.25</v>
      </c>
      <c r="F67" s="49"/>
      <c r="G67" s="16">
        <f>15498318.86+546293.73</f>
        <v>16044612.59</v>
      </c>
      <c r="H67" s="17"/>
      <c r="I67" s="16">
        <f t="shared" si="10"/>
        <v>101834383.88</v>
      </c>
      <c r="J67" s="50"/>
      <c r="K67" s="16">
        <f>51356817.53+12425969</f>
        <v>63782786.530000001</v>
      </c>
      <c r="L67" s="51"/>
      <c r="M67" s="16">
        <f>37408898.85+642698.5</f>
        <v>38051597.350000001</v>
      </c>
      <c r="N67" s="27"/>
    </row>
    <row r="68" spans="1:14" s="5" customFormat="1" ht="12" x14ac:dyDescent="0.2">
      <c r="A68" s="15" t="s">
        <v>37</v>
      </c>
      <c r="B68" s="19" t="s">
        <v>38</v>
      </c>
      <c r="C68" s="16">
        <f t="shared" si="9"/>
        <v>80000</v>
      </c>
      <c r="D68" s="52"/>
      <c r="E68" s="16">
        <v>80000</v>
      </c>
      <c r="F68" s="49"/>
      <c r="G68" s="16"/>
      <c r="H68" s="17"/>
      <c r="I68" s="16">
        <f t="shared" si="10"/>
        <v>80000</v>
      </c>
      <c r="J68" s="54"/>
      <c r="K68" s="16">
        <v>80000</v>
      </c>
      <c r="L68" s="55"/>
      <c r="M68" s="16">
        <v>0</v>
      </c>
      <c r="N68" s="56"/>
    </row>
    <row r="69" spans="1:14" s="5" customFormat="1" ht="12" x14ac:dyDescent="0.2">
      <c r="A69" s="15" t="s">
        <v>39</v>
      </c>
      <c r="B69" s="19" t="s">
        <v>40</v>
      </c>
      <c r="C69" s="16"/>
      <c r="D69" s="49"/>
      <c r="E69" s="16"/>
      <c r="F69" s="49"/>
      <c r="G69" s="16"/>
      <c r="H69" s="53"/>
      <c r="I69" s="16">
        <f t="shared" si="10"/>
        <v>0</v>
      </c>
      <c r="J69" s="9"/>
      <c r="K69" s="18"/>
      <c r="L69" s="18"/>
      <c r="M69" s="18"/>
      <c r="N69" s="27"/>
    </row>
    <row r="70" spans="1:14" s="5" customFormat="1" ht="12" x14ac:dyDescent="0.2">
      <c r="A70" s="15"/>
      <c r="B70" s="19" t="s">
        <v>72</v>
      </c>
      <c r="C70" s="16">
        <f t="shared" ref="C70:C76" si="11">SUM(E70,G70)</f>
        <v>135500</v>
      </c>
      <c r="D70" s="49"/>
      <c r="E70" s="16">
        <f>134400+1100</f>
        <v>135500</v>
      </c>
      <c r="F70" s="49"/>
      <c r="G70" s="16"/>
      <c r="H70" s="17"/>
      <c r="I70" s="16">
        <f t="shared" si="10"/>
        <v>7955399.3200000003</v>
      </c>
      <c r="J70" s="50"/>
      <c r="K70" s="16">
        <f>7642399.32+187000</f>
        <v>7829399.3200000003</v>
      </c>
      <c r="L70" s="48"/>
      <c r="M70" s="16">
        <v>126000</v>
      </c>
      <c r="N70" s="27"/>
    </row>
    <row r="71" spans="1:14" s="5" customFormat="1" ht="12" x14ac:dyDescent="0.2">
      <c r="A71" s="15" t="s">
        <v>44</v>
      </c>
      <c r="B71" s="9" t="s">
        <v>45</v>
      </c>
      <c r="C71" s="16">
        <f t="shared" si="11"/>
        <v>712638902</v>
      </c>
      <c r="D71" s="24"/>
      <c r="E71" s="18">
        <v>712638902</v>
      </c>
      <c r="F71" s="24"/>
      <c r="G71" s="18"/>
      <c r="H71" s="17"/>
      <c r="I71" s="16">
        <f t="shared" si="10"/>
        <v>0</v>
      </c>
      <c r="J71" s="54"/>
      <c r="K71" s="16">
        <v>0</v>
      </c>
      <c r="L71" s="51"/>
      <c r="M71" s="16">
        <v>0</v>
      </c>
      <c r="N71" s="56"/>
    </row>
    <row r="72" spans="1:14" s="5" customFormat="1" ht="12" x14ac:dyDescent="0.2">
      <c r="A72" s="15" t="s">
        <v>46</v>
      </c>
      <c r="B72" s="9" t="s">
        <v>47</v>
      </c>
      <c r="C72" s="16"/>
      <c r="D72" s="52"/>
      <c r="E72" s="16"/>
      <c r="F72" s="52"/>
      <c r="G72" s="16"/>
      <c r="H72" s="53"/>
      <c r="I72" s="16">
        <f t="shared" si="10"/>
        <v>34641419.719999999</v>
      </c>
      <c r="J72" s="50"/>
      <c r="K72" s="16">
        <v>34641419.719999999</v>
      </c>
      <c r="L72" s="51"/>
      <c r="M72" s="16">
        <v>0</v>
      </c>
      <c r="N72" s="27"/>
    </row>
    <row r="73" spans="1:14" s="5" customFormat="1" ht="12" x14ac:dyDescent="0.2">
      <c r="A73" s="15" t="s">
        <v>48</v>
      </c>
      <c r="B73" s="9" t="s">
        <v>49</v>
      </c>
      <c r="C73" s="16">
        <f t="shared" si="11"/>
        <v>81227882</v>
      </c>
      <c r="D73" s="24"/>
      <c r="E73" s="18">
        <v>81227882</v>
      </c>
      <c r="F73" s="24"/>
      <c r="G73" s="18"/>
      <c r="H73" s="17"/>
      <c r="I73" s="16">
        <f t="shared" si="10"/>
        <v>57550000</v>
      </c>
      <c r="J73" s="25"/>
      <c r="K73" s="18">
        <v>53000000</v>
      </c>
      <c r="L73" s="26"/>
      <c r="M73" s="18">
        <v>4550000</v>
      </c>
      <c r="N73" s="27"/>
    </row>
    <row r="74" spans="1:14" s="5" customFormat="1" ht="12" x14ac:dyDescent="0.2">
      <c r="A74" s="15" t="s">
        <v>50</v>
      </c>
      <c r="B74" s="9" t="s">
        <v>51</v>
      </c>
      <c r="C74" s="16">
        <f t="shared" si="11"/>
        <v>7059860.8300000001</v>
      </c>
      <c r="D74" s="24"/>
      <c r="E74" s="18">
        <f>3074120.88+3983739.95</f>
        <v>7057860.8300000001</v>
      </c>
      <c r="F74" s="24"/>
      <c r="G74" s="18">
        <v>2000</v>
      </c>
      <c r="H74" s="17"/>
      <c r="I74" s="16">
        <f t="shared" si="10"/>
        <v>437785723.30000001</v>
      </c>
      <c r="J74" s="25"/>
      <c r="K74" s="18">
        <f>225464011.75+199661711.55</f>
        <v>425125723.30000001</v>
      </c>
      <c r="L74" s="26"/>
      <c r="M74" s="18">
        <f>9570000+3090000</f>
        <v>12660000</v>
      </c>
      <c r="N74" s="27"/>
    </row>
    <row r="75" spans="1:14" s="5" customFormat="1" ht="12" x14ac:dyDescent="0.2">
      <c r="A75" s="15" t="s">
        <v>52</v>
      </c>
      <c r="B75" s="9" t="s">
        <v>53</v>
      </c>
      <c r="C75" s="16">
        <f t="shared" si="11"/>
        <v>80500</v>
      </c>
      <c r="D75" s="52"/>
      <c r="E75" s="18">
        <v>80500</v>
      </c>
      <c r="F75" s="24"/>
      <c r="G75" s="18"/>
      <c r="H75" s="17"/>
      <c r="I75" s="16">
        <f t="shared" si="10"/>
        <v>6565783.8799999999</v>
      </c>
      <c r="J75" s="25"/>
      <c r="K75" s="18">
        <v>6565783.8799999999</v>
      </c>
      <c r="L75" s="26"/>
      <c r="M75" s="18">
        <v>0</v>
      </c>
      <c r="N75" s="27"/>
    </row>
    <row r="76" spans="1:14" s="5" customFormat="1" ht="12" x14ac:dyDescent="0.2">
      <c r="A76" s="15" t="s">
        <v>54</v>
      </c>
      <c r="B76" s="9" t="s">
        <v>55</v>
      </c>
      <c r="C76" s="16">
        <f t="shared" si="11"/>
        <v>25574862.649999999</v>
      </c>
      <c r="D76" s="24"/>
      <c r="E76" s="18">
        <f>25293863.13+280999.52</f>
        <v>25574862.649999999</v>
      </c>
      <c r="F76" s="24"/>
      <c r="G76" s="18"/>
      <c r="H76" s="17"/>
      <c r="I76" s="16">
        <f t="shared" si="10"/>
        <v>87811410.25</v>
      </c>
      <c r="J76" s="25"/>
      <c r="K76" s="18">
        <f>86748018.73+280999.52</f>
        <v>87029018.25</v>
      </c>
      <c r="L76" s="26"/>
      <c r="M76" s="18">
        <f>782392</f>
        <v>782392</v>
      </c>
      <c r="N76" s="27"/>
    </row>
    <row r="77" spans="1:14" s="5" customFormat="1" ht="12" x14ac:dyDescent="0.2">
      <c r="A77" s="15" t="s">
        <v>56</v>
      </c>
      <c r="B77" s="57" t="s">
        <v>73</v>
      </c>
      <c r="C77" s="18"/>
      <c r="D77" s="58"/>
      <c r="E77" s="18"/>
      <c r="F77" s="58"/>
      <c r="G77" s="18"/>
      <c r="H77" s="58"/>
      <c r="I77" s="18"/>
      <c r="J77" s="9"/>
      <c r="K77" s="18"/>
      <c r="L77" s="18"/>
      <c r="M77" s="18"/>
      <c r="N77" s="9"/>
    </row>
    <row r="78" spans="1:14" s="5" customFormat="1" ht="12" x14ac:dyDescent="0.2">
      <c r="A78" s="15"/>
      <c r="B78" s="57" t="s">
        <v>74</v>
      </c>
      <c r="C78" s="16">
        <f>SUM(E78,G78)</f>
        <v>5234545.5599999996</v>
      </c>
      <c r="D78" s="24"/>
      <c r="E78" s="18">
        <f>5190874.56+43671</f>
        <v>5234545.5599999996</v>
      </c>
      <c r="F78" s="24"/>
      <c r="G78" s="18"/>
      <c r="H78" s="17"/>
      <c r="I78" s="16">
        <f>SUM(K78,M78)</f>
        <v>14259332.559999999</v>
      </c>
      <c r="J78" s="25"/>
      <c r="K78" s="18">
        <f>8311100.56+5827732</f>
        <v>14138832.559999999</v>
      </c>
      <c r="L78" s="26"/>
      <c r="M78" s="18">
        <v>120500</v>
      </c>
      <c r="N78" s="27"/>
    </row>
    <row r="79" spans="1:14" s="5" customFormat="1" ht="12" x14ac:dyDescent="0.2">
      <c r="A79" s="15" t="s">
        <v>58</v>
      </c>
      <c r="B79" s="9" t="s">
        <v>59</v>
      </c>
      <c r="C79" s="16">
        <f>SUM(E79,G79)</f>
        <v>7427235.4500000002</v>
      </c>
      <c r="D79" s="24"/>
      <c r="E79" s="18">
        <v>385146</v>
      </c>
      <c r="F79" s="24"/>
      <c r="G79" s="18">
        <v>7042089.4500000002</v>
      </c>
      <c r="H79" s="17"/>
      <c r="I79" s="16">
        <f>SUM(K79,M79)</f>
        <v>36690193.780000001</v>
      </c>
      <c r="J79" s="25"/>
      <c r="K79" s="18">
        <f>1565752.58+21907441.2</f>
        <v>23473193.780000001</v>
      </c>
      <c r="L79" s="26"/>
      <c r="M79" s="18">
        <v>13217000</v>
      </c>
      <c r="N79" s="27"/>
    </row>
    <row r="80" spans="1:14" s="5" customFormat="1" ht="12" x14ac:dyDescent="0.2">
      <c r="A80" s="15" t="s">
        <v>60</v>
      </c>
      <c r="B80" s="9" t="s">
        <v>61</v>
      </c>
      <c r="C80" s="16">
        <f>SUM(E80,G80)</f>
        <v>8789948</v>
      </c>
      <c r="D80" s="24"/>
      <c r="E80" s="18">
        <f>7090466+1699482</f>
        <v>8789948</v>
      </c>
      <c r="F80" s="24"/>
      <c r="G80" s="18"/>
      <c r="H80" s="17"/>
      <c r="I80" s="16">
        <f>SUM(K80,M80)</f>
        <v>38418745.140000001</v>
      </c>
      <c r="J80" s="25"/>
      <c r="K80" s="18">
        <f>13267426.76+23052318.38</f>
        <v>36319745.140000001</v>
      </c>
      <c r="L80" s="26"/>
      <c r="M80" s="18">
        <v>2099000</v>
      </c>
      <c r="N80" s="27"/>
    </row>
    <row r="81" spans="1:14" s="5" customFormat="1" ht="12" x14ac:dyDescent="0.2">
      <c r="A81" s="15" t="s">
        <v>62</v>
      </c>
      <c r="B81" s="9" t="s">
        <v>75</v>
      </c>
      <c r="C81" s="18"/>
      <c r="D81" s="24"/>
      <c r="E81" s="18"/>
      <c r="F81" s="24"/>
      <c r="G81" s="18"/>
      <c r="H81" s="17"/>
      <c r="I81" s="18"/>
      <c r="J81" s="25"/>
      <c r="K81" s="18"/>
      <c r="L81" s="26"/>
      <c r="M81" s="18"/>
      <c r="N81" s="27"/>
    </row>
    <row r="82" spans="1:14" s="5" customFormat="1" ht="12" x14ac:dyDescent="0.2">
      <c r="A82" s="15"/>
      <c r="B82" s="9" t="s">
        <v>76</v>
      </c>
      <c r="C82" s="16">
        <f>SUM(E82,G82)</f>
        <v>74157363</v>
      </c>
      <c r="D82" s="49"/>
      <c r="E82" s="16">
        <f>42925620+14000</f>
        <v>42939620</v>
      </c>
      <c r="F82" s="49"/>
      <c r="G82" s="16">
        <v>31217743</v>
      </c>
      <c r="H82" s="17"/>
      <c r="I82" s="16">
        <f>SUM(K82,M82)</f>
        <v>101397879.21000001</v>
      </c>
      <c r="J82" s="25"/>
      <c r="K82" s="18">
        <f>64555304.21+674793</f>
        <v>65230097.210000001</v>
      </c>
      <c r="L82" s="26"/>
      <c r="M82" s="18">
        <v>36167782</v>
      </c>
      <c r="N82" s="27"/>
    </row>
    <row r="83" spans="1:14" s="5" customFormat="1" ht="12" x14ac:dyDescent="0.2">
      <c r="A83" s="15" t="s">
        <v>64</v>
      </c>
      <c r="B83" s="9" t="s">
        <v>65</v>
      </c>
      <c r="C83" s="16"/>
      <c r="D83" s="52"/>
      <c r="E83" s="16"/>
      <c r="F83" s="49"/>
      <c r="G83" s="16"/>
      <c r="H83" s="17"/>
      <c r="I83" s="16">
        <f>SUM(K83,M83)</f>
        <v>22956703.59</v>
      </c>
      <c r="J83" s="25"/>
      <c r="K83" s="18">
        <v>22879670</v>
      </c>
      <c r="L83" s="26"/>
      <c r="M83" s="18">
        <v>77033.59</v>
      </c>
      <c r="N83" s="27"/>
    </row>
    <row r="84" spans="1:14" s="5" customFormat="1" ht="12" x14ac:dyDescent="0.2">
      <c r="A84" s="20" t="s">
        <v>66</v>
      </c>
      <c r="B84" s="21" t="s">
        <v>67</v>
      </c>
      <c r="C84" s="22">
        <f>SUM(E84,G84)</f>
        <v>5519531</v>
      </c>
      <c r="D84" s="59"/>
      <c r="E84" s="22">
        <v>4275424</v>
      </c>
      <c r="F84" s="59"/>
      <c r="G84" s="22">
        <v>1244107</v>
      </c>
      <c r="H84" s="23"/>
      <c r="I84" s="22">
        <f>SUM(K84,M84)</f>
        <v>35462509.18</v>
      </c>
      <c r="J84" s="60"/>
      <c r="K84" s="22">
        <f>26219854.18+202655</f>
        <v>26422509.18</v>
      </c>
      <c r="L84" s="22"/>
      <c r="M84" s="22">
        <v>9040000</v>
      </c>
      <c r="N84" s="27"/>
    </row>
    <row r="85" spans="1:14" s="5" customFormat="1" ht="18.75" customHeight="1" x14ac:dyDescent="0.2">
      <c r="A85" s="61"/>
      <c r="B85" s="62" t="s">
        <v>68</v>
      </c>
      <c r="C85" s="63">
        <f>SUM(C60:C84)</f>
        <v>1228285089.54</v>
      </c>
      <c r="D85" s="63">
        <f>SUM(D60:D84)</f>
        <v>0</v>
      </c>
      <c r="E85" s="63">
        <f>SUM(E60:E84)</f>
        <v>944212947.08999991</v>
      </c>
      <c r="F85" s="63">
        <f>SUM(F60:F84)</f>
        <v>0</v>
      </c>
      <c r="G85" s="63">
        <f>SUM(G60:G84)</f>
        <v>284072142.44999999</v>
      </c>
      <c r="H85" s="64"/>
      <c r="I85" s="63">
        <f>SUM(I60:I84)</f>
        <v>1406318910.5700002</v>
      </c>
      <c r="J85" s="65"/>
      <c r="K85" s="63">
        <f>SUM(K60:K84)</f>
        <v>990382349.93999994</v>
      </c>
      <c r="L85" s="65"/>
      <c r="M85" s="63">
        <f>SUM(M60:M84)</f>
        <v>415936560.63</v>
      </c>
      <c r="N85" s="66"/>
    </row>
    <row r="86" spans="1:14" s="5" customFormat="1" ht="12" hidden="1" x14ac:dyDescent="0.2">
      <c r="A86" s="28"/>
      <c r="B86" s="19"/>
      <c r="C86" s="18"/>
      <c r="D86" s="58"/>
      <c r="E86" s="18"/>
      <c r="F86" s="58"/>
      <c r="G86" s="18"/>
      <c r="H86" s="58"/>
      <c r="I86" s="18"/>
      <c r="J86" s="9"/>
      <c r="K86" s="9"/>
      <c r="L86" s="28"/>
      <c r="M86" s="28"/>
      <c r="N86" s="9"/>
    </row>
    <row r="87" spans="1:14" s="5" customFormat="1" ht="12" hidden="1" x14ac:dyDescent="0.2">
      <c r="A87" s="28"/>
      <c r="B87" s="19"/>
      <c r="C87" s="18"/>
      <c r="D87" s="58"/>
      <c r="E87" s="18"/>
      <c r="F87" s="58"/>
      <c r="G87" s="18"/>
      <c r="H87" s="58"/>
      <c r="I87" s="18"/>
      <c r="J87" s="9"/>
      <c r="K87" s="9"/>
      <c r="L87" s="28"/>
      <c r="M87" s="28"/>
      <c r="N87" s="9"/>
    </row>
    <row r="88" spans="1:14" s="5" customFormat="1" ht="12" hidden="1" x14ac:dyDescent="0.2">
      <c r="A88" s="28"/>
      <c r="B88" s="19"/>
      <c r="C88" s="18"/>
      <c r="D88" s="58"/>
      <c r="E88" s="18"/>
      <c r="F88" s="58"/>
      <c r="G88" s="18"/>
      <c r="H88" s="58"/>
      <c r="I88" s="18"/>
      <c r="J88" s="9"/>
      <c r="K88" s="9"/>
      <c r="L88" s="28"/>
      <c r="M88" s="28"/>
      <c r="N88" s="9"/>
    </row>
    <row r="89" spans="1:14" s="71" customFormat="1" ht="18" customHeight="1" x14ac:dyDescent="0.2">
      <c r="A89" s="67"/>
      <c r="B89" s="68" t="s">
        <v>77</v>
      </c>
      <c r="C89" s="29"/>
      <c r="D89" s="69"/>
      <c r="E89" s="29"/>
      <c r="F89" s="69"/>
      <c r="G89" s="29"/>
      <c r="H89" s="69"/>
      <c r="I89" s="29"/>
      <c r="J89" s="67"/>
      <c r="K89" s="67"/>
      <c r="L89" s="70"/>
      <c r="M89" s="70"/>
      <c r="N89" s="67"/>
    </row>
    <row r="90" spans="1:14" s="5" customFormat="1" ht="12" customHeight="1" x14ac:dyDescent="0.2">
      <c r="A90" s="12">
        <v>750</v>
      </c>
      <c r="B90" s="19" t="s">
        <v>33</v>
      </c>
      <c r="C90" s="16">
        <f>SUM(E90,G90)</f>
        <v>2434635</v>
      </c>
      <c r="D90" s="24"/>
      <c r="E90" s="18">
        <v>2434635</v>
      </c>
      <c r="F90" s="24"/>
      <c r="G90" s="18">
        <v>0</v>
      </c>
      <c r="H90" s="17"/>
      <c r="I90" s="16">
        <f t="shared" ref="I90:I95" si="12">SUM(K90,M90)</f>
        <v>2434635</v>
      </c>
      <c r="J90" s="25"/>
      <c r="K90" s="18">
        <v>2434635</v>
      </c>
      <c r="L90" s="25"/>
      <c r="M90" s="18">
        <v>0</v>
      </c>
      <c r="N90" s="27"/>
    </row>
    <row r="91" spans="1:14" s="5" customFormat="1" ht="12" customHeight="1" x14ac:dyDescent="0.2">
      <c r="A91" s="12">
        <v>751</v>
      </c>
      <c r="B91" s="19" t="s">
        <v>35</v>
      </c>
      <c r="C91" s="18"/>
      <c r="D91" s="24"/>
      <c r="E91" s="18"/>
      <c r="F91" s="24"/>
      <c r="G91" s="18"/>
      <c r="H91" s="58"/>
      <c r="I91" s="16"/>
      <c r="J91" s="25"/>
      <c r="K91" s="18"/>
      <c r="L91" s="25"/>
      <c r="M91" s="18"/>
      <c r="N91" s="9"/>
    </row>
    <row r="92" spans="1:14" s="5" customFormat="1" ht="12" customHeight="1" x14ac:dyDescent="0.2">
      <c r="A92" s="12"/>
      <c r="B92" s="19" t="s">
        <v>36</v>
      </c>
      <c r="C92" s="16">
        <f>SUM(E92,G92)</f>
        <v>14369</v>
      </c>
      <c r="D92" s="24"/>
      <c r="E92" s="18">
        <v>14369</v>
      </c>
      <c r="F92" s="24"/>
      <c r="G92" s="18">
        <v>0</v>
      </c>
      <c r="H92" s="17"/>
      <c r="I92" s="16">
        <f t="shared" si="12"/>
        <v>14369</v>
      </c>
      <c r="J92" s="25"/>
      <c r="K92" s="18">
        <v>14369</v>
      </c>
      <c r="L92" s="25"/>
      <c r="M92" s="18">
        <v>0</v>
      </c>
      <c r="N92" s="27"/>
    </row>
    <row r="93" spans="1:14" s="5" customFormat="1" ht="12" customHeight="1" x14ac:dyDescent="0.2">
      <c r="A93" s="15" t="s">
        <v>52</v>
      </c>
      <c r="B93" s="19" t="s">
        <v>53</v>
      </c>
      <c r="C93" s="16">
        <f>SUM(E93,G93)</f>
        <v>3000</v>
      </c>
      <c r="D93" s="49"/>
      <c r="E93" s="16">
        <v>3000</v>
      </c>
      <c r="F93" s="49"/>
      <c r="G93" s="16">
        <v>0</v>
      </c>
      <c r="H93" s="17"/>
      <c r="I93" s="16">
        <f t="shared" si="12"/>
        <v>3000</v>
      </c>
      <c r="J93" s="50"/>
      <c r="K93" s="16">
        <v>3000</v>
      </c>
      <c r="L93" s="50"/>
      <c r="M93" s="16">
        <v>0</v>
      </c>
      <c r="N93" s="27"/>
    </row>
    <row r="94" spans="1:14" s="5" customFormat="1" ht="12" customHeight="1" x14ac:dyDescent="0.2">
      <c r="A94" s="15" t="s">
        <v>54</v>
      </c>
      <c r="B94" s="19" t="s">
        <v>55</v>
      </c>
      <c r="C94" s="16">
        <f>SUM(E94,G94)</f>
        <v>6640904</v>
      </c>
      <c r="D94" s="49"/>
      <c r="E94" s="16">
        <v>6640904</v>
      </c>
      <c r="F94" s="49"/>
      <c r="G94" s="16">
        <v>0</v>
      </c>
      <c r="H94" s="17"/>
      <c r="I94" s="16">
        <f t="shared" si="12"/>
        <v>6640904</v>
      </c>
      <c r="J94" s="50"/>
      <c r="K94" s="16">
        <v>6640904</v>
      </c>
      <c r="L94" s="50"/>
      <c r="M94" s="16">
        <v>0</v>
      </c>
      <c r="N94" s="27"/>
    </row>
    <row r="95" spans="1:14" s="5" customFormat="1" ht="12" customHeight="1" x14ac:dyDescent="0.2">
      <c r="A95" s="15" t="s">
        <v>60</v>
      </c>
      <c r="B95" s="19" t="s">
        <v>61</v>
      </c>
      <c r="C95" s="16">
        <f>SUM(E95,G95)</f>
        <v>44158354</v>
      </c>
      <c r="D95" s="49"/>
      <c r="E95" s="16">
        <v>44158354</v>
      </c>
      <c r="F95" s="49"/>
      <c r="G95" s="16">
        <v>0</v>
      </c>
      <c r="H95" s="17"/>
      <c r="I95" s="16">
        <f t="shared" si="12"/>
        <v>44158354</v>
      </c>
      <c r="J95" s="50"/>
      <c r="K95" s="16">
        <v>44158354</v>
      </c>
      <c r="L95" s="50"/>
      <c r="M95" s="16">
        <v>0</v>
      </c>
      <c r="N95" s="27"/>
    </row>
    <row r="96" spans="1:14" s="71" customFormat="1" ht="2.25" customHeight="1" x14ac:dyDescent="0.2">
      <c r="A96" s="65"/>
      <c r="B96" s="72"/>
      <c r="C96" s="63"/>
      <c r="D96" s="73"/>
      <c r="E96" s="63"/>
      <c r="F96" s="73"/>
      <c r="G96" s="63"/>
      <c r="H96" s="74"/>
      <c r="I96" s="63"/>
      <c r="J96" s="65"/>
      <c r="K96" s="63"/>
      <c r="L96" s="75"/>
      <c r="M96" s="63"/>
      <c r="N96" s="76"/>
    </row>
    <row r="97" spans="1:14" s="71" customFormat="1" ht="15.75" customHeight="1" x14ac:dyDescent="0.2">
      <c r="A97" s="75"/>
      <c r="B97" s="77" t="s">
        <v>68</v>
      </c>
      <c r="C97" s="63">
        <f>SUM(C90:C95)</f>
        <v>53251262</v>
      </c>
      <c r="D97" s="73"/>
      <c r="E97" s="63">
        <f>SUM(E90:E95)</f>
        <v>53251262</v>
      </c>
      <c r="F97" s="73"/>
      <c r="G97" s="63">
        <f>SUM(G90:G95)</f>
        <v>0</v>
      </c>
      <c r="H97" s="64"/>
      <c r="I97" s="63">
        <f>SUM(I90:I95)</f>
        <v>53251262</v>
      </c>
      <c r="J97" s="65"/>
      <c r="K97" s="63">
        <f>SUM(K90:K95)</f>
        <v>53251262</v>
      </c>
      <c r="L97" s="65"/>
      <c r="M97" s="63">
        <f>SUM(M90:M95)</f>
        <v>0</v>
      </c>
      <c r="N97" s="66"/>
    </row>
    <row r="98" spans="1:14" s="5" customFormat="1" ht="12" hidden="1" x14ac:dyDescent="0.2">
      <c r="A98" s="28"/>
      <c r="B98" s="19"/>
      <c r="C98" s="18"/>
      <c r="D98" s="58"/>
      <c r="E98" s="18"/>
      <c r="F98" s="58"/>
      <c r="G98" s="18"/>
      <c r="H98" s="58"/>
      <c r="I98" s="18"/>
      <c r="J98" s="9"/>
      <c r="K98" s="18"/>
      <c r="L98" s="28"/>
      <c r="M98" s="18"/>
      <c r="N98" s="9"/>
    </row>
    <row r="99" spans="1:14" s="5" customFormat="1" ht="12" hidden="1" x14ac:dyDescent="0.2">
      <c r="A99" s="28"/>
      <c r="B99" s="19"/>
      <c r="C99" s="18"/>
      <c r="D99" s="58"/>
      <c r="E99" s="18"/>
      <c r="F99" s="58"/>
      <c r="G99" s="18"/>
      <c r="H99" s="58"/>
      <c r="I99" s="18"/>
      <c r="J99" s="9"/>
      <c r="K99" s="18"/>
      <c r="L99" s="28"/>
      <c r="M99" s="18"/>
      <c r="N99" s="9"/>
    </row>
    <row r="100" spans="1:14" s="5" customFormat="1" ht="12" hidden="1" x14ac:dyDescent="0.2">
      <c r="A100" s="28"/>
      <c r="B100" s="19"/>
      <c r="C100" s="18"/>
      <c r="D100" s="58"/>
      <c r="E100" s="18"/>
      <c r="F100" s="58"/>
      <c r="G100" s="18"/>
      <c r="H100" s="58"/>
      <c r="I100" s="18"/>
      <c r="J100" s="9"/>
      <c r="K100" s="18"/>
      <c r="L100" s="28"/>
      <c r="M100" s="18"/>
      <c r="N100" s="9"/>
    </row>
    <row r="101" spans="1:14" s="71" customFormat="1" ht="16.5" customHeight="1" x14ac:dyDescent="0.2">
      <c r="A101" s="67"/>
      <c r="B101" s="68" t="s">
        <v>78</v>
      </c>
      <c r="C101" s="29"/>
      <c r="D101" s="69"/>
      <c r="E101" s="29"/>
      <c r="F101" s="69"/>
      <c r="G101" s="29"/>
      <c r="H101" s="69"/>
      <c r="I101" s="29"/>
      <c r="J101" s="67"/>
      <c r="K101" s="29"/>
      <c r="L101" s="70"/>
      <c r="M101" s="29"/>
      <c r="N101" s="67"/>
    </row>
    <row r="102" spans="1:14" s="71" customFormat="1" ht="16.5" customHeight="1" x14ac:dyDescent="0.2">
      <c r="A102" s="15" t="s">
        <v>17</v>
      </c>
      <c r="B102" s="9" t="s">
        <v>18</v>
      </c>
      <c r="C102" s="16">
        <f>SUM(E102,G102)</f>
        <v>10000</v>
      </c>
      <c r="D102" s="24"/>
      <c r="E102" s="78">
        <v>10000</v>
      </c>
      <c r="F102" s="24"/>
      <c r="G102" s="78">
        <v>0</v>
      </c>
      <c r="H102" s="17"/>
      <c r="I102" s="16">
        <f>SUM(K102,M102)</f>
        <v>10000</v>
      </c>
      <c r="J102" s="79"/>
      <c r="K102" s="78">
        <v>10000</v>
      </c>
      <c r="L102" s="79"/>
      <c r="M102" s="78">
        <v>0</v>
      </c>
      <c r="N102" s="27"/>
    </row>
    <row r="103" spans="1:14" s="5" customFormat="1" ht="12" customHeight="1" x14ac:dyDescent="0.2">
      <c r="A103" s="15" t="s">
        <v>28</v>
      </c>
      <c r="B103" s="19" t="s">
        <v>29</v>
      </c>
      <c r="C103" s="16">
        <f>SUM(E103,G103)</f>
        <v>551000</v>
      </c>
      <c r="D103" s="24"/>
      <c r="E103" s="18">
        <v>551000</v>
      </c>
      <c r="F103" s="24"/>
      <c r="G103" s="18">
        <v>0</v>
      </c>
      <c r="H103" s="17"/>
      <c r="I103" s="16">
        <f t="shared" ref="I103:I113" si="13">SUM(K103,M103)</f>
        <v>551000</v>
      </c>
      <c r="J103" s="25"/>
      <c r="K103" s="18">
        <v>551000</v>
      </c>
      <c r="L103" s="25"/>
      <c r="M103" s="18">
        <v>0</v>
      </c>
      <c r="N103" s="27"/>
    </row>
    <row r="104" spans="1:14" s="5" customFormat="1" ht="12" customHeight="1" x14ac:dyDescent="0.2">
      <c r="A104" s="15" t="s">
        <v>30</v>
      </c>
      <c r="B104" s="19" t="s">
        <v>31</v>
      </c>
      <c r="C104" s="16">
        <f>SUM(E104,G104)</f>
        <v>1413940</v>
      </c>
      <c r="D104" s="24"/>
      <c r="E104" s="18">
        <v>1413940</v>
      </c>
      <c r="F104" s="24"/>
      <c r="G104" s="18">
        <v>0</v>
      </c>
      <c r="H104" s="17"/>
      <c r="I104" s="16">
        <f t="shared" si="13"/>
        <v>1413940</v>
      </c>
      <c r="J104" s="25"/>
      <c r="K104" s="18">
        <v>1413940</v>
      </c>
      <c r="L104" s="25"/>
      <c r="M104" s="18">
        <v>0</v>
      </c>
      <c r="N104" s="27"/>
    </row>
    <row r="105" spans="1:14" s="5" customFormat="1" ht="12" customHeight="1" x14ac:dyDescent="0.2">
      <c r="A105" s="15" t="s">
        <v>32</v>
      </c>
      <c r="B105" s="19" t="s">
        <v>33</v>
      </c>
      <c r="C105" s="16">
        <f>SUM(E105,G105)</f>
        <v>166917</v>
      </c>
      <c r="D105" s="24"/>
      <c r="E105" s="18">
        <v>166917</v>
      </c>
      <c r="F105" s="24"/>
      <c r="G105" s="18">
        <v>0</v>
      </c>
      <c r="H105" s="17"/>
      <c r="I105" s="16">
        <f t="shared" si="13"/>
        <v>166917</v>
      </c>
      <c r="J105" s="25"/>
      <c r="K105" s="18">
        <v>166917</v>
      </c>
      <c r="L105" s="25"/>
      <c r="M105" s="18">
        <v>0</v>
      </c>
      <c r="N105" s="27"/>
    </row>
    <row r="106" spans="1:14" s="5" customFormat="1" ht="12" customHeight="1" x14ac:dyDescent="0.2">
      <c r="A106" s="15" t="s">
        <v>37</v>
      </c>
      <c r="B106" s="19" t="s">
        <v>38</v>
      </c>
      <c r="C106" s="16">
        <f>SUM(E106,G106)</f>
        <v>62000</v>
      </c>
      <c r="D106" s="24"/>
      <c r="E106" s="18">
        <v>62000</v>
      </c>
      <c r="F106" s="24"/>
      <c r="G106" s="18">
        <v>0</v>
      </c>
      <c r="H106" s="17"/>
      <c r="I106" s="16">
        <f t="shared" si="13"/>
        <v>62000</v>
      </c>
      <c r="J106" s="25"/>
      <c r="K106" s="18">
        <v>62000</v>
      </c>
      <c r="L106" s="25"/>
      <c r="M106" s="18">
        <v>0</v>
      </c>
      <c r="N106" s="27"/>
    </row>
    <row r="107" spans="1:14" s="5" customFormat="1" ht="12" customHeight="1" x14ac:dyDescent="0.2">
      <c r="A107" s="15" t="s">
        <v>39</v>
      </c>
      <c r="B107" s="19" t="s">
        <v>40</v>
      </c>
      <c r="C107" s="18"/>
      <c r="D107" s="24"/>
      <c r="E107" s="18"/>
      <c r="F107" s="30"/>
      <c r="G107" s="18"/>
      <c r="H107" s="58"/>
      <c r="I107" s="16">
        <f t="shared" si="13"/>
        <v>0</v>
      </c>
      <c r="J107" s="25"/>
      <c r="K107" s="18"/>
      <c r="L107" s="25"/>
      <c r="M107" s="18"/>
      <c r="N107" s="9"/>
    </row>
    <row r="108" spans="1:14" s="5" customFormat="1" ht="12" customHeight="1" x14ac:dyDescent="0.2">
      <c r="A108" s="15"/>
      <c r="B108" s="19" t="s">
        <v>72</v>
      </c>
      <c r="C108" s="16">
        <f>SUM(E108,G108)</f>
        <v>21770703</v>
      </c>
      <c r="D108" s="24"/>
      <c r="E108" s="18">
        <v>21770703</v>
      </c>
      <c r="F108" s="24"/>
      <c r="G108" s="18">
        <v>0</v>
      </c>
      <c r="H108" s="17"/>
      <c r="I108" s="16">
        <f t="shared" si="13"/>
        <v>21770703</v>
      </c>
      <c r="J108" s="25"/>
      <c r="K108" s="18">
        <v>21770703</v>
      </c>
      <c r="L108" s="25"/>
      <c r="M108" s="18">
        <v>0</v>
      </c>
      <c r="N108" s="27"/>
    </row>
    <row r="109" spans="1:14" s="5" customFormat="1" ht="12" customHeight="1" x14ac:dyDescent="0.2">
      <c r="A109" s="15" t="s">
        <v>42</v>
      </c>
      <c r="B109" s="19" t="s">
        <v>43</v>
      </c>
      <c r="C109" s="16">
        <f>SUM(E109,G109)</f>
        <v>302880</v>
      </c>
      <c r="D109" s="52"/>
      <c r="E109" s="18">
        <v>302880</v>
      </c>
      <c r="F109" s="24"/>
      <c r="G109" s="18">
        <v>0</v>
      </c>
      <c r="H109" s="17"/>
      <c r="I109" s="16">
        <f t="shared" si="13"/>
        <v>302880</v>
      </c>
      <c r="J109" s="25"/>
      <c r="K109" s="18">
        <v>302880</v>
      </c>
      <c r="L109" s="25"/>
      <c r="M109" s="18">
        <v>0</v>
      </c>
      <c r="N109" s="27"/>
    </row>
    <row r="110" spans="1:14" s="5" customFormat="1" ht="12" customHeight="1" x14ac:dyDescent="0.2">
      <c r="A110" s="15" t="s">
        <v>52</v>
      </c>
      <c r="B110" s="19" t="s">
        <v>53</v>
      </c>
      <c r="C110" s="16">
        <f>SUM(E110,G110)</f>
        <v>0</v>
      </c>
      <c r="D110" s="24"/>
      <c r="E110" s="18"/>
      <c r="F110" s="24"/>
      <c r="G110" s="18">
        <v>0</v>
      </c>
      <c r="H110" s="17"/>
      <c r="I110" s="16">
        <f t="shared" si="13"/>
        <v>0</v>
      </c>
      <c r="J110" s="25"/>
      <c r="K110" s="18">
        <v>0</v>
      </c>
      <c r="L110" s="25"/>
      <c r="M110" s="18">
        <v>0</v>
      </c>
      <c r="N110" s="27"/>
    </row>
    <row r="111" spans="1:14" s="5" customFormat="1" ht="12" customHeight="1" x14ac:dyDescent="0.2">
      <c r="A111" s="15" t="s">
        <v>54</v>
      </c>
      <c r="B111" s="19" t="s">
        <v>55</v>
      </c>
      <c r="C111" s="16">
        <f>SUM(E111,G111)</f>
        <v>672000</v>
      </c>
      <c r="D111" s="49"/>
      <c r="E111" s="16">
        <v>672000</v>
      </c>
      <c r="F111" s="49"/>
      <c r="G111" s="16">
        <v>0</v>
      </c>
      <c r="H111" s="17"/>
      <c r="I111" s="16">
        <f t="shared" si="13"/>
        <v>672000</v>
      </c>
      <c r="J111" s="50"/>
      <c r="K111" s="16">
        <v>672000</v>
      </c>
      <c r="L111" s="50"/>
      <c r="M111" s="16">
        <v>0</v>
      </c>
      <c r="N111" s="27"/>
    </row>
    <row r="112" spans="1:14" s="5" customFormat="1" ht="12" customHeight="1" x14ac:dyDescent="0.2">
      <c r="A112" s="15" t="s">
        <v>56</v>
      </c>
      <c r="B112" s="57" t="s">
        <v>73</v>
      </c>
      <c r="C112" s="18"/>
      <c r="D112" s="58"/>
      <c r="E112" s="18"/>
      <c r="F112" s="58"/>
      <c r="G112" s="18"/>
      <c r="H112" s="58"/>
      <c r="I112" s="16">
        <f t="shared" si="13"/>
        <v>0</v>
      </c>
      <c r="J112" s="9"/>
      <c r="K112" s="18"/>
      <c r="L112" s="9"/>
      <c r="M112" s="18"/>
      <c r="N112" s="9"/>
    </row>
    <row r="113" spans="1:14" s="5" customFormat="1" ht="12" customHeight="1" x14ac:dyDescent="0.2">
      <c r="A113" s="80"/>
      <c r="B113" s="57" t="s">
        <v>74</v>
      </c>
      <c r="C113" s="16">
        <f>SUM(E113,G113)</f>
        <v>697000</v>
      </c>
      <c r="D113" s="24"/>
      <c r="E113" s="18">
        <v>697000</v>
      </c>
      <c r="F113" s="24"/>
      <c r="G113" s="18">
        <v>0</v>
      </c>
      <c r="H113" s="17"/>
      <c r="I113" s="16">
        <f t="shared" si="13"/>
        <v>697000</v>
      </c>
      <c r="J113" s="25"/>
      <c r="K113" s="18">
        <v>697000</v>
      </c>
      <c r="L113" s="25"/>
      <c r="M113" s="18">
        <v>0</v>
      </c>
      <c r="N113" s="27"/>
    </row>
    <row r="114" spans="1:14" s="5" customFormat="1" ht="12" customHeight="1" x14ac:dyDescent="0.2">
      <c r="A114" s="15" t="s">
        <v>60</v>
      </c>
      <c r="B114" s="19" t="s">
        <v>61</v>
      </c>
      <c r="C114" s="16">
        <f>SUM(E114,G114)</f>
        <v>0</v>
      </c>
      <c r="D114" s="24"/>
      <c r="E114" s="18"/>
      <c r="F114" s="24"/>
      <c r="G114" s="18">
        <v>0</v>
      </c>
      <c r="H114" s="17"/>
      <c r="I114" s="16">
        <f>SUM(K114,M114)</f>
        <v>0</v>
      </c>
      <c r="J114" s="25"/>
      <c r="K114" s="18">
        <v>0</v>
      </c>
      <c r="L114" s="25"/>
      <c r="M114" s="18">
        <v>0</v>
      </c>
      <c r="N114" s="27"/>
    </row>
    <row r="115" spans="1:14" s="5" customFormat="1" ht="5.25" customHeight="1" x14ac:dyDescent="0.2">
      <c r="A115" s="81"/>
      <c r="B115" s="72"/>
      <c r="C115" s="22"/>
      <c r="D115" s="59"/>
      <c r="E115" s="22"/>
      <c r="F115" s="59"/>
      <c r="G115" s="22"/>
      <c r="H115" s="23"/>
      <c r="I115" s="22"/>
      <c r="J115" s="60"/>
      <c r="K115" s="22"/>
      <c r="L115" s="60"/>
      <c r="M115" s="22"/>
      <c r="N115" s="82"/>
    </row>
    <row r="116" spans="1:14" s="71" customFormat="1" ht="15.75" customHeight="1" x14ac:dyDescent="0.2">
      <c r="A116" s="83"/>
      <c r="B116" s="77" t="s">
        <v>68</v>
      </c>
      <c r="C116" s="63">
        <f>SUM(C102:C114)</f>
        <v>25646440</v>
      </c>
      <c r="D116" s="73"/>
      <c r="E116" s="63">
        <f>SUM(E102:E114)</f>
        <v>25646440</v>
      </c>
      <c r="F116" s="73"/>
      <c r="G116" s="63">
        <f>SUM(G102:G114)</f>
        <v>0</v>
      </c>
      <c r="H116" s="74"/>
      <c r="I116" s="63">
        <f>SUM(I102:I114)</f>
        <v>25646440</v>
      </c>
      <c r="J116" s="65"/>
      <c r="K116" s="63">
        <f>SUM(K102:K114)</f>
        <v>25646440</v>
      </c>
      <c r="L116" s="65"/>
      <c r="M116" s="63">
        <f>SUM(M102:M114)</f>
        <v>0</v>
      </c>
      <c r="N116" s="84"/>
    </row>
    <row r="119" spans="1:14" s="71" customFormat="1" ht="12" x14ac:dyDescent="0.2">
      <c r="B119" s="85"/>
      <c r="C119" s="86"/>
      <c r="D119" s="86"/>
    </row>
    <row r="120" spans="1:14" s="87" customFormat="1" x14ac:dyDescent="0.2">
      <c r="B120" s="88"/>
      <c r="C120" s="89"/>
      <c r="D120" s="89"/>
    </row>
  </sheetData>
  <pageMargins left="0.39370078740157483" right="0.39370078740157483" top="0.59055118110236227" bottom="0.59055118110236227" header="0.51181102362204722" footer="0.51181102362204722"/>
  <pageSetup paperSize="9" scale="80" firstPageNumber="5" orientation="landscape" r:id="rId1"/>
  <rowBreaks count="1" manualBreakCount="1">
    <brk id="100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22E5CD-E0EA-4AE2-8C6C-94794D312279}">
  <sheetPr>
    <pageSetUpPr fitToPage="1"/>
  </sheetPr>
  <dimension ref="A1:H47"/>
  <sheetViews>
    <sheetView zoomScale="120" zoomScaleNormal="120" workbookViewId="0">
      <selection activeCell="A10" sqref="A10:F43"/>
    </sheetView>
  </sheetViews>
  <sheetFormatPr defaultRowHeight="12" x14ac:dyDescent="0.2"/>
  <cols>
    <col min="1" max="1" width="4" style="840" customWidth="1"/>
    <col min="2" max="2" width="5.28515625" style="840" customWidth="1"/>
    <col min="3" max="3" width="8.42578125" style="840" customWidth="1"/>
    <col min="4" max="4" width="8" style="841" customWidth="1"/>
    <col min="5" max="5" width="51.28515625" style="840" customWidth="1"/>
    <col min="6" max="6" width="21" style="840" customWidth="1"/>
    <col min="7" max="7" width="13" style="840" customWidth="1"/>
    <col min="8" max="8" width="10.7109375" style="840" customWidth="1"/>
    <col min="9" max="256" width="9.140625" style="840"/>
    <col min="257" max="257" width="4" style="840" customWidth="1"/>
    <col min="258" max="258" width="5.28515625" style="840" customWidth="1"/>
    <col min="259" max="259" width="8.42578125" style="840" customWidth="1"/>
    <col min="260" max="260" width="8" style="840" customWidth="1"/>
    <col min="261" max="261" width="51.28515625" style="840" customWidth="1"/>
    <col min="262" max="262" width="21" style="840" customWidth="1"/>
    <col min="263" max="263" width="13" style="840" customWidth="1"/>
    <col min="264" max="264" width="10.7109375" style="840" customWidth="1"/>
    <col min="265" max="512" width="9.140625" style="840"/>
    <col min="513" max="513" width="4" style="840" customWidth="1"/>
    <col min="514" max="514" width="5.28515625" style="840" customWidth="1"/>
    <col min="515" max="515" width="8.42578125" style="840" customWidth="1"/>
    <col min="516" max="516" width="8" style="840" customWidth="1"/>
    <col min="517" max="517" width="51.28515625" style="840" customWidth="1"/>
    <col min="518" max="518" width="21" style="840" customWidth="1"/>
    <col min="519" max="519" width="13" style="840" customWidth="1"/>
    <col min="520" max="520" width="10.7109375" style="840" customWidth="1"/>
    <col min="521" max="768" width="9.140625" style="840"/>
    <col min="769" max="769" width="4" style="840" customWidth="1"/>
    <col min="770" max="770" width="5.28515625" style="840" customWidth="1"/>
    <col min="771" max="771" width="8.42578125" style="840" customWidth="1"/>
    <col min="772" max="772" width="8" style="840" customWidth="1"/>
    <col min="773" max="773" width="51.28515625" style="840" customWidth="1"/>
    <col min="774" max="774" width="21" style="840" customWidth="1"/>
    <col min="775" max="775" width="13" style="840" customWidth="1"/>
    <col min="776" max="776" width="10.7109375" style="840" customWidth="1"/>
    <col min="777" max="1024" width="9.140625" style="840"/>
    <col min="1025" max="1025" width="4" style="840" customWidth="1"/>
    <col min="1026" max="1026" width="5.28515625" style="840" customWidth="1"/>
    <col min="1027" max="1027" width="8.42578125" style="840" customWidth="1"/>
    <col min="1028" max="1028" width="8" style="840" customWidth="1"/>
    <col min="1029" max="1029" width="51.28515625" style="840" customWidth="1"/>
    <col min="1030" max="1030" width="21" style="840" customWidth="1"/>
    <col min="1031" max="1031" width="13" style="840" customWidth="1"/>
    <col min="1032" max="1032" width="10.7109375" style="840" customWidth="1"/>
    <col min="1033" max="1280" width="9.140625" style="840"/>
    <col min="1281" max="1281" width="4" style="840" customWidth="1"/>
    <col min="1282" max="1282" width="5.28515625" style="840" customWidth="1"/>
    <col min="1283" max="1283" width="8.42578125" style="840" customWidth="1"/>
    <col min="1284" max="1284" width="8" style="840" customWidth="1"/>
    <col min="1285" max="1285" width="51.28515625" style="840" customWidth="1"/>
    <col min="1286" max="1286" width="21" style="840" customWidth="1"/>
    <col min="1287" max="1287" width="13" style="840" customWidth="1"/>
    <col min="1288" max="1288" width="10.7109375" style="840" customWidth="1"/>
    <col min="1289" max="1536" width="9.140625" style="840"/>
    <col min="1537" max="1537" width="4" style="840" customWidth="1"/>
    <col min="1538" max="1538" width="5.28515625" style="840" customWidth="1"/>
    <col min="1539" max="1539" width="8.42578125" style="840" customWidth="1"/>
    <col min="1540" max="1540" width="8" style="840" customWidth="1"/>
    <col min="1541" max="1541" width="51.28515625" style="840" customWidth="1"/>
    <col min="1542" max="1542" width="21" style="840" customWidth="1"/>
    <col min="1543" max="1543" width="13" style="840" customWidth="1"/>
    <col min="1544" max="1544" width="10.7109375" style="840" customWidth="1"/>
    <col min="1545" max="1792" width="9.140625" style="840"/>
    <col min="1793" max="1793" width="4" style="840" customWidth="1"/>
    <col min="1794" max="1794" width="5.28515625" style="840" customWidth="1"/>
    <col min="1795" max="1795" width="8.42578125" style="840" customWidth="1"/>
    <col min="1796" max="1796" width="8" style="840" customWidth="1"/>
    <col min="1797" max="1797" width="51.28515625" style="840" customWidth="1"/>
    <col min="1798" max="1798" width="21" style="840" customWidth="1"/>
    <col min="1799" max="1799" width="13" style="840" customWidth="1"/>
    <col min="1800" max="1800" width="10.7109375" style="840" customWidth="1"/>
    <col min="1801" max="2048" width="9.140625" style="840"/>
    <col min="2049" max="2049" width="4" style="840" customWidth="1"/>
    <col min="2050" max="2050" width="5.28515625" style="840" customWidth="1"/>
    <col min="2051" max="2051" width="8.42578125" style="840" customWidth="1"/>
    <col min="2052" max="2052" width="8" style="840" customWidth="1"/>
    <col min="2053" max="2053" width="51.28515625" style="840" customWidth="1"/>
    <col min="2054" max="2054" width="21" style="840" customWidth="1"/>
    <col min="2055" max="2055" width="13" style="840" customWidth="1"/>
    <col min="2056" max="2056" width="10.7109375" style="840" customWidth="1"/>
    <col min="2057" max="2304" width="9.140625" style="840"/>
    <col min="2305" max="2305" width="4" style="840" customWidth="1"/>
    <col min="2306" max="2306" width="5.28515625" style="840" customWidth="1"/>
    <col min="2307" max="2307" width="8.42578125" style="840" customWidth="1"/>
    <col min="2308" max="2308" width="8" style="840" customWidth="1"/>
    <col min="2309" max="2309" width="51.28515625" style="840" customWidth="1"/>
    <col min="2310" max="2310" width="21" style="840" customWidth="1"/>
    <col min="2311" max="2311" width="13" style="840" customWidth="1"/>
    <col min="2312" max="2312" width="10.7109375" style="840" customWidth="1"/>
    <col min="2313" max="2560" width="9.140625" style="840"/>
    <col min="2561" max="2561" width="4" style="840" customWidth="1"/>
    <col min="2562" max="2562" width="5.28515625" style="840" customWidth="1"/>
    <col min="2563" max="2563" width="8.42578125" style="840" customWidth="1"/>
    <col min="2564" max="2564" width="8" style="840" customWidth="1"/>
    <col min="2565" max="2565" width="51.28515625" style="840" customWidth="1"/>
    <col min="2566" max="2566" width="21" style="840" customWidth="1"/>
    <col min="2567" max="2567" width="13" style="840" customWidth="1"/>
    <col min="2568" max="2568" width="10.7109375" style="840" customWidth="1"/>
    <col min="2569" max="2816" width="9.140625" style="840"/>
    <col min="2817" max="2817" width="4" style="840" customWidth="1"/>
    <col min="2818" max="2818" width="5.28515625" style="840" customWidth="1"/>
    <col min="2819" max="2819" width="8.42578125" style="840" customWidth="1"/>
    <col min="2820" max="2820" width="8" style="840" customWidth="1"/>
    <col min="2821" max="2821" width="51.28515625" style="840" customWidth="1"/>
    <col min="2822" max="2822" width="21" style="840" customWidth="1"/>
    <col min="2823" max="2823" width="13" style="840" customWidth="1"/>
    <col min="2824" max="2824" width="10.7109375" style="840" customWidth="1"/>
    <col min="2825" max="3072" width="9.140625" style="840"/>
    <col min="3073" max="3073" width="4" style="840" customWidth="1"/>
    <col min="3074" max="3074" width="5.28515625" style="840" customWidth="1"/>
    <col min="3075" max="3075" width="8.42578125" style="840" customWidth="1"/>
    <col min="3076" max="3076" width="8" style="840" customWidth="1"/>
    <col min="3077" max="3077" width="51.28515625" style="840" customWidth="1"/>
    <col min="3078" max="3078" width="21" style="840" customWidth="1"/>
    <col min="3079" max="3079" width="13" style="840" customWidth="1"/>
    <col min="3080" max="3080" width="10.7109375" style="840" customWidth="1"/>
    <col min="3081" max="3328" width="9.140625" style="840"/>
    <col min="3329" max="3329" width="4" style="840" customWidth="1"/>
    <col min="3330" max="3330" width="5.28515625" style="840" customWidth="1"/>
    <col min="3331" max="3331" width="8.42578125" style="840" customWidth="1"/>
    <col min="3332" max="3332" width="8" style="840" customWidth="1"/>
    <col min="3333" max="3333" width="51.28515625" style="840" customWidth="1"/>
    <col min="3334" max="3334" width="21" style="840" customWidth="1"/>
    <col min="3335" max="3335" width="13" style="840" customWidth="1"/>
    <col min="3336" max="3336" width="10.7109375" style="840" customWidth="1"/>
    <col min="3337" max="3584" width="9.140625" style="840"/>
    <col min="3585" max="3585" width="4" style="840" customWidth="1"/>
    <col min="3586" max="3586" width="5.28515625" style="840" customWidth="1"/>
    <col min="3587" max="3587" width="8.42578125" style="840" customWidth="1"/>
    <col min="3588" max="3588" width="8" style="840" customWidth="1"/>
    <col min="3589" max="3589" width="51.28515625" style="840" customWidth="1"/>
    <col min="3590" max="3590" width="21" style="840" customWidth="1"/>
    <col min="3591" max="3591" width="13" style="840" customWidth="1"/>
    <col min="3592" max="3592" width="10.7109375" style="840" customWidth="1"/>
    <col min="3593" max="3840" width="9.140625" style="840"/>
    <col min="3841" max="3841" width="4" style="840" customWidth="1"/>
    <col min="3842" max="3842" width="5.28515625" style="840" customWidth="1"/>
    <col min="3843" max="3843" width="8.42578125" style="840" customWidth="1"/>
    <col min="3844" max="3844" width="8" style="840" customWidth="1"/>
    <col min="3845" max="3845" width="51.28515625" style="840" customWidth="1"/>
    <col min="3846" max="3846" width="21" style="840" customWidth="1"/>
    <col min="3847" max="3847" width="13" style="840" customWidth="1"/>
    <col min="3848" max="3848" width="10.7109375" style="840" customWidth="1"/>
    <col min="3849" max="4096" width="9.140625" style="840"/>
    <col min="4097" max="4097" width="4" style="840" customWidth="1"/>
    <col min="4098" max="4098" width="5.28515625" style="840" customWidth="1"/>
    <col min="4099" max="4099" width="8.42578125" style="840" customWidth="1"/>
    <col min="4100" max="4100" width="8" style="840" customWidth="1"/>
    <col min="4101" max="4101" width="51.28515625" style="840" customWidth="1"/>
    <col min="4102" max="4102" width="21" style="840" customWidth="1"/>
    <col min="4103" max="4103" width="13" style="840" customWidth="1"/>
    <col min="4104" max="4104" width="10.7109375" style="840" customWidth="1"/>
    <col min="4105" max="4352" width="9.140625" style="840"/>
    <col min="4353" max="4353" width="4" style="840" customWidth="1"/>
    <col min="4354" max="4354" width="5.28515625" style="840" customWidth="1"/>
    <col min="4355" max="4355" width="8.42578125" style="840" customWidth="1"/>
    <col min="4356" max="4356" width="8" style="840" customWidth="1"/>
    <col min="4357" max="4357" width="51.28515625" style="840" customWidth="1"/>
    <col min="4358" max="4358" width="21" style="840" customWidth="1"/>
    <col min="4359" max="4359" width="13" style="840" customWidth="1"/>
    <col min="4360" max="4360" width="10.7109375" style="840" customWidth="1"/>
    <col min="4361" max="4608" width="9.140625" style="840"/>
    <col min="4609" max="4609" width="4" style="840" customWidth="1"/>
    <col min="4610" max="4610" width="5.28515625" style="840" customWidth="1"/>
    <col min="4611" max="4611" width="8.42578125" style="840" customWidth="1"/>
    <col min="4612" max="4612" width="8" style="840" customWidth="1"/>
    <col min="4613" max="4613" width="51.28515625" style="840" customWidth="1"/>
    <col min="4614" max="4614" width="21" style="840" customWidth="1"/>
    <col min="4615" max="4615" width="13" style="840" customWidth="1"/>
    <col min="4616" max="4616" width="10.7109375" style="840" customWidth="1"/>
    <col min="4617" max="4864" width="9.140625" style="840"/>
    <col min="4865" max="4865" width="4" style="840" customWidth="1"/>
    <col min="4866" max="4866" width="5.28515625" style="840" customWidth="1"/>
    <col min="4867" max="4867" width="8.42578125" style="840" customWidth="1"/>
    <col min="4868" max="4868" width="8" style="840" customWidth="1"/>
    <col min="4869" max="4869" width="51.28515625" style="840" customWidth="1"/>
    <col min="4870" max="4870" width="21" style="840" customWidth="1"/>
    <col min="4871" max="4871" width="13" style="840" customWidth="1"/>
    <col min="4872" max="4872" width="10.7109375" style="840" customWidth="1"/>
    <col min="4873" max="5120" width="9.140625" style="840"/>
    <col min="5121" max="5121" width="4" style="840" customWidth="1"/>
    <col min="5122" max="5122" width="5.28515625" style="840" customWidth="1"/>
    <col min="5123" max="5123" width="8.42578125" style="840" customWidth="1"/>
    <col min="5124" max="5124" width="8" style="840" customWidth="1"/>
    <col min="5125" max="5125" width="51.28515625" style="840" customWidth="1"/>
    <col min="5126" max="5126" width="21" style="840" customWidth="1"/>
    <col min="5127" max="5127" width="13" style="840" customWidth="1"/>
    <col min="5128" max="5128" width="10.7109375" style="840" customWidth="1"/>
    <col min="5129" max="5376" width="9.140625" style="840"/>
    <col min="5377" max="5377" width="4" style="840" customWidth="1"/>
    <col min="5378" max="5378" width="5.28515625" style="840" customWidth="1"/>
    <col min="5379" max="5379" width="8.42578125" style="840" customWidth="1"/>
    <col min="5380" max="5380" width="8" style="840" customWidth="1"/>
    <col min="5381" max="5381" width="51.28515625" style="840" customWidth="1"/>
    <col min="5382" max="5382" width="21" style="840" customWidth="1"/>
    <col min="5383" max="5383" width="13" style="840" customWidth="1"/>
    <col min="5384" max="5384" width="10.7109375" style="840" customWidth="1"/>
    <col min="5385" max="5632" width="9.140625" style="840"/>
    <col min="5633" max="5633" width="4" style="840" customWidth="1"/>
    <col min="5634" max="5634" width="5.28515625" style="840" customWidth="1"/>
    <col min="5635" max="5635" width="8.42578125" style="840" customWidth="1"/>
    <col min="5636" max="5636" width="8" style="840" customWidth="1"/>
    <col min="5637" max="5637" width="51.28515625" style="840" customWidth="1"/>
    <col min="5638" max="5638" width="21" style="840" customWidth="1"/>
    <col min="5639" max="5639" width="13" style="840" customWidth="1"/>
    <col min="5640" max="5640" width="10.7109375" style="840" customWidth="1"/>
    <col min="5641" max="5888" width="9.140625" style="840"/>
    <col min="5889" max="5889" width="4" style="840" customWidth="1"/>
    <col min="5890" max="5890" width="5.28515625" style="840" customWidth="1"/>
    <col min="5891" max="5891" width="8.42578125" style="840" customWidth="1"/>
    <col min="5892" max="5892" width="8" style="840" customWidth="1"/>
    <col min="5893" max="5893" width="51.28515625" style="840" customWidth="1"/>
    <col min="5894" max="5894" width="21" style="840" customWidth="1"/>
    <col min="5895" max="5895" width="13" style="840" customWidth="1"/>
    <col min="5896" max="5896" width="10.7109375" style="840" customWidth="1"/>
    <col min="5897" max="6144" width="9.140625" style="840"/>
    <col min="6145" max="6145" width="4" style="840" customWidth="1"/>
    <col min="6146" max="6146" width="5.28515625" style="840" customWidth="1"/>
    <col min="6147" max="6147" width="8.42578125" style="840" customWidth="1"/>
    <col min="6148" max="6148" width="8" style="840" customWidth="1"/>
    <col min="6149" max="6149" width="51.28515625" style="840" customWidth="1"/>
    <col min="6150" max="6150" width="21" style="840" customWidth="1"/>
    <col min="6151" max="6151" width="13" style="840" customWidth="1"/>
    <col min="6152" max="6152" width="10.7109375" style="840" customWidth="1"/>
    <col min="6153" max="6400" width="9.140625" style="840"/>
    <col min="6401" max="6401" width="4" style="840" customWidth="1"/>
    <col min="6402" max="6402" width="5.28515625" style="840" customWidth="1"/>
    <col min="6403" max="6403" width="8.42578125" style="840" customWidth="1"/>
    <col min="6404" max="6404" width="8" style="840" customWidth="1"/>
    <col min="6405" max="6405" width="51.28515625" style="840" customWidth="1"/>
    <col min="6406" max="6406" width="21" style="840" customWidth="1"/>
    <col min="6407" max="6407" width="13" style="840" customWidth="1"/>
    <col min="6408" max="6408" width="10.7109375" style="840" customWidth="1"/>
    <col min="6409" max="6656" width="9.140625" style="840"/>
    <col min="6657" max="6657" width="4" style="840" customWidth="1"/>
    <col min="6658" max="6658" width="5.28515625" style="840" customWidth="1"/>
    <col min="6659" max="6659" width="8.42578125" style="840" customWidth="1"/>
    <col min="6660" max="6660" width="8" style="840" customWidth="1"/>
    <col min="6661" max="6661" width="51.28515625" style="840" customWidth="1"/>
    <col min="6662" max="6662" width="21" style="840" customWidth="1"/>
    <col min="6663" max="6663" width="13" style="840" customWidth="1"/>
    <col min="6664" max="6664" width="10.7109375" style="840" customWidth="1"/>
    <col min="6665" max="6912" width="9.140625" style="840"/>
    <col min="6913" max="6913" width="4" style="840" customWidth="1"/>
    <col min="6914" max="6914" width="5.28515625" style="840" customWidth="1"/>
    <col min="6915" max="6915" width="8.42578125" style="840" customWidth="1"/>
    <col min="6916" max="6916" width="8" style="840" customWidth="1"/>
    <col min="6917" max="6917" width="51.28515625" style="840" customWidth="1"/>
    <col min="6918" max="6918" width="21" style="840" customWidth="1"/>
    <col min="6919" max="6919" width="13" style="840" customWidth="1"/>
    <col min="6920" max="6920" width="10.7109375" style="840" customWidth="1"/>
    <col min="6921" max="7168" width="9.140625" style="840"/>
    <col min="7169" max="7169" width="4" style="840" customWidth="1"/>
    <col min="7170" max="7170" width="5.28515625" style="840" customWidth="1"/>
    <col min="7171" max="7171" width="8.42578125" style="840" customWidth="1"/>
    <col min="7172" max="7172" width="8" style="840" customWidth="1"/>
    <col min="7173" max="7173" width="51.28515625" style="840" customWidth="1"/>
    <col min="7174" max="7174" width="21" style="840" customWidth="1"/>
    <col min="7175" max="7175" width="13" style="840" customWidth="1"/>
    <col min="7176" max="7176" width="10.7109375" style="840" customWidth="1"/>
    <col min="7177" max="7424" width="9.140625" style="840"/>
    <col min="7425" max="7425" width="4" style="840" customWidth="1"/>
    <col min="7426" max="7426" width="5.28515625" style="840" customWidth="1"/>
    <col min="7427" max="7427" width="8.42578125" style="840" customWidth="1"/>
    <col min="7428" max="7428" width="8" style="840" customWidth="1"/>
    <col min="7429" max="7429" width="51.28515625" style="840" customWidth="1"/>
    <col min="7430" max="7430" width="21" style="840" customWidth="1"/>
    <col min="7431" max="7431" width="13" style="840" customWidth="1"/>
    <col min="7432" max="7432" width="10.7109375" style="840" customWidth="1"/>
    <col min="7433" max="7680" width="9.140625" style="840"/>
    <col min="7681" max="7681" width="4" style="840" customWidth="1"/>
    <col min="7682" max="7682" width="5.28515625" style="840" customWidth="1"/>
    <col min="7683" max="7683" width="8.42578125" style="840" customWidth="1"/>
    <col min="7684" max="7684" width="8" style="840" customWidth="1"/>
    <col min="7685" max="7685" width="51.28515625" style="840" customWidth="1"/>
    <col min="7686" max="7686" width="21" style="840" customWidth="1"/>
    <col min="7687" max="7687" width="13" style="840" customWidth="1"/>
    <col min="7688" max="7688" width="10.7109375" style="840" customWidth="1"/>
    <col min="7689" max="7936" width="9.140625" style="840"/>
    <col min="7937" max="7937" width="4" style="840" customWidth="1"/>
    <col min="7938" max="7938" width="5.28515625" style="840" customWidth="1"/>
    <col min="7939" max="7939" width="8.42578125" style="840" customWidth="1"/>
    <col min="7940" max="7940" width="8" style="840" customWidth="1"/>
    <col min="7941" max="7941" width="51.28515625" style="840" customWidth="1"/>
    <col min="7942" max="7942" width="21" style="840" customWidth="1"/>
    <col min="7943" max="7943" width="13" style="840" customWidth="1"/>
    <col min="7944" max="7944" width="10.7109375" style="840" customWidth="1"/>
    <col min="7945" max="8192" width="9.140625" style="840"/>
    <col min="8193" max="8193" width="4" style="840" customWidth="1"/>
    <col min="8194" max="8194" width="5.28515625" style="840" customWidth="1"/>
    <col min="8195" max="8195" width="8.42578125" style="840" customWidth="1"/>
    <col min="8196" max="8196" width="8" style="840" customWidth="1"/>
    <col min="8197" max="8197" width="51.28515625" style="840" customWidth="1"/>
    <col min="8198" max="8198" width="21" style="840" customWidth="1"/>
    <col min="8199" max="8199" width="13" style="840" customWidth="1"/>
    <col min="8200" max="8200" width="10.7109375" style="840" customWidth="1"/>
    <col min="8201" max="8448" width="9.140625" style="840"/>
    <col min="8449" max="8449" width="4" style="840" customWidth="1"/>
    <col min="8450" max="8450" width="5.28515625" style="840" customWidth="1"/>
    <col min="8451" max="8451" width="8.42578125" style="840" customWidth="1"/>
    <col min="8452" max="8452" width="8" style="840" customWidth="1"/>
    <col min="8453" max="8453" width="51.28515625" style="840" customWidth="1"/>
    <col min="8454" max="8454" width="21" style="840" customWidth="1"/>
    <col min="8455" max="8455" width="13" style="840" customWidth="1"/>
    <col min="8456" max="8456" width="10.7109375" style="840" customWidth="1"/>
    <col min="8457" max="8704" width="9.140625" style="840"/>
    <col min="8705" max="8705" width="4" style="840" customWidth="1"/>
    <col min="8706" max="8706" width="5.28515625" style="840" customWidth="1"/>
    <col min="8707" max="8707" width="8.42578125" style="840" customWidth="1"/>
    <col min="8708" max="8708" width="8" style="840" customWidth="1"/>
    <col min="8709" max="8709" width="51.28515625" style="840" customWidth="1"/>
    <col min="8710" max="8710" width="21" style="840" customWidth="1"/>
    <col min="8711" max="8711" width="13" style="840" customWidth="1"/>
    <col min="8712" max="8712" width="10.7109375" style="840" customWidth="1"/>
    <col min="8713" max="8960" width="9.140625" style="840"/>
    <col min="8961" max="8961" width="4" style="840" customWidth="1"/>
    <col min="8962" max="8962" width="5.28515625" style="840" customWidth="1"/>
    <col min="8963" max="8963" width="8.42578125" style="840" customWidth="1"/>
    <col min="8964" max="8964" width="8" style="840" customWidth="1"/>
    <col min="8965" max="8965" width="51.28515625" style="840" customWidth="1"/>
    <col min="8966" max="8966" width="21" style="840" customWidth="1"/>
    <col min="8967" max="8967" width="13" style="840" customWidth="1"/>
    <col min="8968" max="8968" width="10.7109375" style="840" customWidth="1"/>
    <col min="8969" max="9216" width="9.140625" style="840"/>
    <col min="9217" max="9217" width="4" style="840" customWidth="1"/>
    <col min="9218" max="9218" width="5.28515625" style="840" customWidth="1"/>
    <col min="9219" max="9219" width="8.42578125" style="840" customWidth="1"/>
    <col min="9220" max="9220" width="8" style="840" customWidth="1"/>
    <col min="9221" max="9221" width="51.28515625" style="840" customWidth="1"/>
    <col min="9222" max="9222" width="21" style="840" customWidth="1"/>
    <col min="9223" max="9223" width="13" style="840" customWidth="1"/>
    <col min="9224" max="9224" width="10.7109375" style="840" customWidth="1"/>
    <col min="9225" max="9472" width="9.140625" style="840"/>
    <col min="9473" max="9473" width="4" style="840" customWidth="1"/>
    <col min="9474" max="9474" width="5.28515625" style="840" customWidth="1"/>
    <col min="9475" max="9475" width="8.42578125" style="840" customWidth="1"/>
    <col min="9476" max="9476" width="8" style="840" customWidth="1"/>
    <col min="9477" max="9477" width="51.28515625" style="840" customWidth="1"/>
    <col min="9478" max="9478" width="21" style="840" customWidth="1"/>
    <col min="9479" max="9479" width="13" style="840" customWidth="1"/>
    <col min="9480" max="9480" width="10.7109375" style="840" customWidth="1"/>
    <col min="9481" max="9728" width="9.140625" style="840"/>
    <col min="9729" max="9729" width="4" style="840" customWidth="1"/>
    <col min="9730" max="9730" width="5.28515625" style="840" customWidth="1"/>
    <col min="9731" max="9731" width="8.42578125" style="840" customWidth="1"/>
    <col min="9732" max="9732" width="8" style="840" customWidth="1"/>
    <col min="9733" max="9733" width="51.28515625" style="840" customWidth="1"/>
    <col min="9734" max="9734" width="21" style="840" customWidth="1"/>
    <col min="9735" max="9735" width="13" style="840" customWidth="1"/>
    <col min="9736" max="9736" width="10.7109375" style="840" customWidth="1"/>
    <col min="9737" max="9984" width="9.140625" style="840"/>
    <col min="9985" max="9985" width="4" style="840" customWidth="1"/>
    <col min="9986" max="9986" width="5.28515625" style="840" customWidth="1"/>
    <col min="9987" max="9987" width="8.42578125" style="840" customWidth="1"/>
    <col min="9988" max="9988" width="8" style="840" customWidth="1"/>
    <col min="9989" max="9989" width="51.28515625" style="840" customWidth="1"/>
    <col min="9990" max="9990" width="21" style="840" customWidth="1"/>
    <col min="9991" max="9991" width="13" style="840" customWidth="1"/>
    <col min="9992" max="9992" width="10.7109375" style="840" customWidth="1"/>
    <col min="9993" max="10240" width="9.140625" style="840"/>
    <col min="10241" max="10241" width="4" style="840" customWidth="1"/>
    <col min="10242" max="10242" width="5.28515625" style="840" customWidth="1"/>
    <col min="10243" max="10243" width="8.42578125" style="840" customWidth="1"/>
    <col min="10244" max="10244" width="8" style="840" customWidth="1"/>
    <col min="10245" max="10245" width="51.28515625" style="840" customWidth="1"/>
    <col min="10246" max="10246" width="21" style="840" customWidth="1"/>
    <col min="10247" max="10247" width="13" style="840" customWidth="1"/>
    <col min="10248" max="10248" width="10.7109375" style="840" customWidth="1"/>
    <col min="10249" max="10496" width="9.140625" style="840"/>
    <col min="10497" max="10497" width="4" style="840" customWidth="1"/>
    <col min="10498" max="10498" width="5.28515625" style="840" customWidth="1"/>
    <col min="10499" max="10499" width="8.42578125" style="840" customWidth="1"/>
    <col min="10500" max="10500" width="8" style="840" customWidth="1"/>
    <col min="10501" max="10501" width="51.28515625" style="840" customWidth="1"/>
    <col min="10502" max="10502" width="21" style="840" customWidth="1"/>
    <col min="10503" max="10503" width="13" style="840" customWidth="1"/>
    <col min="10504" max="10504" width="10.7109375" style="840" customWidth="1"/>
    <col min="10505" max="10752" width="9.140625" style="840"/>
    <col min="10753" max="10753" width="4" style="840" customWidth="1"/>
    <col min="10754" max="10754" width="5.28515625" style="840" customWidth="1"/>
    <col min="10755" max="10755" width="8.42578125" style="840" customWidth="1"/>
    <col min="10756" max="10756" width="8" style="840" customWidth="1"/>
    <col min="10757" max="10757" width="51.28515625" style="840" customWidth="1"/>
    <col min="10758" max="10758" width="21" style="840" customWidth="1"/>
    <col min="10759" max="10759" width="13" style="840" customWidth="1"/>
    <col min="10760" max="10760" width="10.7109375" style="840" customWidth="1"/>
    <col min="10761" max="11008" width="9.140625" style="840"/>
    <col min="11009" max="11009" width="4" style="840" customWidth="1"/>
    <col min="11010" max="11010" width="5.28515625" style="840" customWidth="1"/>
    <col min="11011" max="11011" width="8.42578125" style="840" customWidth="1"/>
    <col min="11012" max="11012" width="8" style="840" customWidth="1"/>
    <col min="11013" max="11013" width="51.28515625" style="840" customWidth="1"/>
    <col min="11014" max="11014" width="21" style="840" customWidth="1"/>
    <col min="11015" max="11015" width="13" style="840" customWidth="1"/>
    <col min="11016" max="11016" width="10.7109375" style="840" customWidth="1"/>
    <col min="11017" max="11264" width="9.140625" style="840"/>
    <col min="11265" max="11265" width="4" style="840" customWidth="1"/>
    <col min="11266" max="11266" width="5.28515625" style="840" customWidth="1"/>
    <col min="11267" max="11267" width="8.42578125" style="840" customWidth="1"/>
    <col min="11268" max="11268" width="8" style="840" customWidth="1"/>
    <col min="11269" max="11269" width="51.28515625" style="840" customWidth="1"/>
    <col min="11270" max="11270" width="21" style="840" customWidth="1"/>
    <col min="11271" max="11271" width="13" style="840" customWidth="1"/>
    <col min="11272" max="11272" width="10.7109375" style="840" customWidth="1"/>
    <col min="11273" max="11520" width="9.140625" style="840"/>
    <col min="11521" max="11521" width="4" style="840" customWidth="1"/>
    <col min="11522" max="11522" width="5.28515625" style="840" customWidth="1"/>
    <col min="11523" max="11523" width="8.42578125" style="840" customWidth="1"/>
    <col min="11524" max="11524" width="8" style="840" customWidth="1"/>
    <col min="11525" max="11525" width="51.28515625" style="840" customWidth="1"/>
    <col min="11526" max="11526" width="21" style="840" customWidth="1"/>
    <col min="11527" max="11527" width="13" style="840" customWidth="1"/>
    <col min="11528" max="11528" width="10.7109375" style="840" customWidth="1"/>
    <col min="11529" max="11776" width="9.140625" style="840"/>
    <col min="11777" max="11777" width="4" style="840" customWidth="1"/>
    <col min="11778" max="11778" width="5.28515625" style="840" customWidth="1"/>
    <col min="11779" max="11779" width="8.42578125" style="840" customWidth="1"/>
    <col min="11780" max="11780" width="8" style="840" customWidth="1"/>
    <col min="11781" max="11781" width="51.28515625" style="840" customWidth="1"/>
    <col min="11782" max="11782" width="21" style="840" customWidth="1"/>
    <col min="11783" max="11783" width="13" style="840" customWidth="1"/>
    <col min="11784" max="11784" width="10.7109375" style="840" customWidth="1"/>
    <col min="11785" max="12032" width="9.140625" style="840"/>
    <col min="12033" max="12033" width="4" style="840" customWidth="1"/>
    <col min="12034" max="12034" width="5.28515625" style="840" customWidth="1"/>
    <col min="12035" max="12035" width="8.42578125" style="840" customWidth="1"/>
    <col min="12036" max="12036" width="8" style="840" customWidth="1"/>
    <col min="12037" max="12037" width="51.28515625" style="840" customWidth="1"/>
    <col min="12038" max="12038" width="21" style="840" customWidth="1"/>
    <col min="12039" max="12039" width="13" style="840" customWidth="1"/>
    <col min="12040" max="12040" width="10.7109375" style="840" customWidth="1"/>
    <col min="12041" max="12288" width="9.140625" style="840"/>
    <col min="12289" max="12289" width="4" style="840" customWidth="1"/>
    <col min="12290" max="12290" width="5.28515625" style="840" customWidth="1"/>
    <col min="12291" max="12291" width="8.42578125" style="840" customWidth="1"/>
    <col min="12292" max="12292" width="8" style="840" customWidth="1"/>
    <col min="12293" max="12293" width="51.28515625" style="840" customWidth="1"/>
    <col min="12294" max="12294" width="21" style="840" customWidth="1"/>
    <col min="12295" max="12295" width="13" style="840" customWidth="1"/>
    <col min="12296" max="12296" width="10.7109375" style="840" customWidth="1"/>
    <col min="12297" max="12544" width="9.140625" style="840"/>
    <col min="12545" max="12545" width="4" style="840" customWidth="1"/>
    <col min="12546" max="12546" width="5.28515625" style="840" customWidth="1"/>
    <col min="12547" max="12547" width="8.42578125" style="840" customWidth="1"/>
    <col min="12548" max="12548" width="8" style="840" customWidth="1"/>
    <col min="12549" max="12549" width="51.28515625" style="840" customWidth="1"/>
    <col min="12550" max="12550" width="21" style="840" customWidth="1"/>
    <col min="12551" max="12551" width="13" style="840" customWidth="1"/>
    <col min="12552" max="12552" width="10.7109375" style="840" customWidth="1"/>
    <col min="12553" max="12800" width="9.140625" style="840"/>
    <col min="12801" max="12801" width="4" style="840" customWidth="1"/>
    <col min="12802" max="12802" width="5.28515625" style="840" customWidth="1"/>
    <col min="12803" max="12803" width="8.42578125" style="840" customWidth="1"/>
    <col min="12804" max="12804" width="8" style="840" customWidth="1"/>
    <col min="12805" max="12805" width="51.28515625" style="840" customWidth="1"/>
    <col min="12806" max="12806" width="21" style="840" customWidth="1"/>
    <col min="12807" max="12807" width="13" style="840" customWidth="1"/>
    <col min="12808" max="12808" width="10.7109375" style="840" customWidth="1"/>
    <col min="12809" max="13056" width="9.140625" style="840"/>
    <col min="13057" max="13057" width="4" style="840" customWidth="1"/>
    <col min="13058" max="13058" width="5.28515625" style="840" customWidth="1"/>
    <col min="13059" max="13059" width="8.42578125" style="840" customWidth="1"/>
    <col min="13060" max="13060" width="8" style="840" customWidth="1"/>
    <col min="13061" max="13061" width="51.28515625" style="840" customWidth="1"/>
    <col min="13062" max="13062" width="21" style="840" customWidth="1"/>
    <col min="13063" max="13063" width="13" style="840" customWidth="1"/>
    <col min="13064" max="13064" width="10.7109375" style="840" customWidth="1"/>
    <col min="13065" max="13312" width="9.140625" style="840"/>
    <col min="13313" max="13313" width="4" style="840" customWidth="1"/>
    <col min="13314" max="13314" width="5.28515625" style="840" customWidth="1"/>
    <col min="13315" max="13315" width="8.42578125" style="840" customWidth="1"/>
    <col min="13316" max="13316" width="8" style="840" customWidth="1"/>
    <col min="13317" max="13317" width="51.28515625" style="840" customWidth="1"/>
    <col min="13318" max="13318" width="21" style="840" customWidth="1"/>
    <col min="13319" max="13319" width="13" style="840" customWidth="1"/>
    <col min="13320" max="13320" width="10.7109375" style="840" customWidth="1"/>
    <col min="13321" max="13568" width="9.140625" style="840"/>
    <col min="13569" max="13569" width="4" style="840" customWidth="1"/>
    <col min="13570" max="13570" width="5.28515625" style="840" customWidth="1"/>
    <col min="13571" max="13571" width="8.42578125" style="840" customWidth="1"/>
    <col min="13572" max="13572" width="8" style="840" customWidth="1"/>
    <col min="13573" max="13573" width="51.28515625" style="840" customWidth="1"/>
    <col min="13574" max="13574" width="21" style="840" customWidth="1"/>
    <col min="13575" max="13575" width="13" style="840" customWidth="1"/>
    <col min="13576" max="13576" width="10.7109375" style="840" customWidth="1"/>
    <col min="13577" max="13824" width="9.140625" style="840"/>
    <col min="13825" max="13825" width="4" style="840" customWidth="1"/>
    <col min="13826" max="13826" width="5.28515625" style="840" customWidth="1"/>
    <col min="13827" max="13827" width="8.42578125" style="840" customWidth="1"/>
    <col min="13828" max="13828" width="8" style="840" customWidth="1"/>
    <col min="13829" max="13829" width="51.28515625" style="840" customWidth="1"/>
    <col min="13830" max="13830" width="21" style="840" customWidth="1"/>
    <col min="13831" max="13831" width="13" style="840" customWidth="1"/>
    <col min="13832" max="13832" width="10.7109375" style="840" customWidth="1"/>
    <col min="13833" max="14080" width="9.140625" style="840"/>
    <col min="14081" max="14081" width="4" style="840" customWidth="1"/>
    <col min="14082" max="14082" width="5.28515625" style="840" customWidth="1"/>
    <col min="14083" max="14083" width="8.42578125" style="840" customWidth="1"/>
    <col min="14084" max="14084" width="8" style="840" customWidth="1"/>
    <col min="14085" max="14085" width="51.28515625" style="840" customWidth="1"/>
    <col min="14086" max="14086" width="21" style="840" customWidth="1"/>
    <col min="14087" max="14087" width="13" style="840" customWidth="1"/>
    <col min="14088" max="14088" width="10.7109375" style="840" customWidth="1"/>
    <col min="14089" max="14336" width="9.140625" style="840"/>
    <col min="14337" max="14337" width="4" style="840" customWidth="1"/>
    <col min="14338" max="14338" width="5.28515625" style="840" customWidth="1"/>
    <col min="14339" max="14339" width="8.42578125" style="840" customWidth="1"/>
    <col min="14340" max="14340" width="8" style="840" customWidth="1"/>
    <col min="14341" max="14341" width="51.28515625" style="840" customWidth="1"/>
    <col min="14342" max="14342" width="21" style="840" customWidth="1"/>
    <col min="14343" max="14343" width="13" style="840" customWidth="1"/>
    <col min="14344" max="14344" width="10.7109375" style="840" customWidth="1"/>
    <col min="14345" max="14592" width="9.140625" style="840"/>
    <col min="14593" max="14593" width="4" style="840" customWidth="1"/>
    <col min="14594" max="14594" width="5.28515625" style="840" customWidth="1"/>
    <col min="14595" max="14595" width="8.42578125" style="840" customWidth="1"/>
    <col min="14596" max="14596" width="8" style="840" customWidth="1"/>
    <col min="14597" max="14597" width="51.28515625" style="840" customWidth="1"/>
    <col min="14598" max="14598" width="21" style="840" customWidth="1"/>
    <col min="14599" max="14599" width="13" style="840" customWidth="1"/>
    <col min="14600" max="14600" width="10.7109375" style="840" customWidth="1"/>
    <col min="14601" max="14848" width="9.140625" style="840"/>
    <col min="14849" max="14849" width="4" style="840" customWidth="1"/>
    <col min="14850" max="14850" width="5.28515625" style="840" customWidth="1"/>
    <col min="14851" max="14851" width="8.42578125" style="840" customWidth="1"/>
    <col min="14852" max="14852" width="8" style="840" customWidth="1"/>
    <col min="14853" max="14853" width="51.28515625" style="840" customWidth="1"/>
    <col min="14854" max="14854" width="21" style="840" customWidth="1"/>
    <col min="14855" max="14855" width="13" style="840" customWidth="1"/>
    <col min="14856" max="14856" width="10.7109375" style="840" customWidth="1"/>
    <col min="14857" max="15104" width="9.140625" style="840"/>
    <col min="15105" max="15105" width="4" style="840" customWidth="1"/>
    <col min="15106" max="15106" width="5.28515625" style="840" customWidth="1"/>
    <col min="15107" max="15107" width="8.42578125" style="840" customWidth="1"/>
    <col min="15108" max="15108" width="8" style="840" customWidth="1"/>
    <col min="15109" max="15109" width="51.28515625" style="840" customWidth="1"/>
    <col min="15110" max="15110" width="21" style="840" customWidth="1"/>
    <col min="15111" max="15111" width="13" style="840" customWidth="1"/>
    <col min="15112" max="15112" width="10.7109375" style="840" customWidth="1"/>
    <col min="15113" max="15360" width="9.140625" style="840"/>
    <col min="15361" max="15361" width="4" style="840" customWidth="1"/>
    <col min="15362" max="15362" width="5.28515625" style="840" customWidth="1"/>
    <col min="15363" max="15363" width="8.42578125" style="840" customWidth="1"/>
    <col min="15364" max="15364" width="8" style="840" customWidth="1"/>
    <col min="15365" max="15365" width="51.28515625" style="840" customWidth="1"/>
    <col min="15366" max="15366" width="21" style="840" customWidth="1"/>
    <col min="15367" max="15367" width="13" style="840" customWidth="1"/>
    <col min="15368" max="15368" width="10.7109375" style="840" customWidth="1"/>
    <col min="15369" max="15616" width="9.140625" style="840"/>
    <col min="15617" max="15617" width="4" style="840" customWidth="1"/>
    <col min="15618" max="15618" width="5.28515625" style="840" customWidth="1"/>
    <col min="15619" max="15619" width="8.42578125" style="840" customWidth="1"/>
    <col min="15620" max="15620" width="8" style="840" customWidth="1"/>
    <col min="15621" max="15621" width="51.28515625" style="840" customWidth="1"/>
    <col min="15622" max="15622" width="21" style="840" customWidth="1"/>
    <col min="15623" max="15623" width="13" style="840" customWidth="1"/>
    <col min="15624" max="15624" width="10.7109375" style="840" customWidth="1"/>
    <col min="15625" max="15872" width="9.140625" style="840"/>
    <col min="15873" max="15873" width="4" style="840" customWidth="1"/>
    <col min="15874" max="15874" width="5.28515625" style="840" customWidth="1"/>
    <col min="15875" max="15875" width="8.42578125" style="840" customWidth="1"/>
    <col min="15876" max="15876" width="8" style="840" customWidth="1"/>
    <col min="15877" max="15877" width="51.28515625" style="840" customWidth="1"/>
    <col min="15878" max="15878" width="21" style="840" customWidth="1"/>
    <col min="15879" max="15879" width="13" style="840" customWidth="1"/>
    <col min="15880" max="15880" width="10.7109375" style="840" customWidth="1"/>
    <col min="15881" max="16128" width="9.140625" style="840"/>
    <col min="16129" max="16129" width="4" style="840" customWidth="1"/>
    <col min="16130" max="16130" width="5.28515625" style="840" customWidth="1"/>
    <col min="16131" max="16131" width="8.42578125" style="840" customWidth="1"/>
    <col min="16132" max="16132" width="8" style="840" customWidth="1"/>
    <col min="16133" max="16133" width="51.28515625" style="840" customWidth="1"/>
    <col min="16134" max="16134" width="21" style="840" customWidth="1"/>
    <col min="16135" max="16135" width="13" style="840" customWidth="1"/>
    <col min="16136" max="16136" width="10.7109375" style="840" customWidth="1"/>
    <col min="16137" max="16384" width="9.140625" style="840"/>
  </cols>
  <sheetData>
    <row r="1" spans="1:8" ht="12" customHeight="1" x14ac:dyDescent="0.2">
      <c r="F1" s="842" t="s">
        <v>1169</v>
      </c>
    </row>
    <row r="2" spans="1:8" ht="12" customHeight="1" x14ac:dyDescent="0.2">
      <c r="E2" s="843"/>
      <c r="F2" s="844" t="s">
        <v>80</v>
      </c>
    </row>
    <row r="3" spans="1:8" ht="12" customHeight="1" x14ac:dyDescent="0.2">
      <c r="E3" s="843"/>
      <c r="F3" s="844" t="s">
        <v>81</v>
      </c>
    </row>
    <row r="4" spans="1:8" ht="12" customHeight="1" x14ac:dyDescent="0.2">
      <c r="E4" s="843"/>
      <c r="F4" s="844" t="s">
        <v>82</v>
      </c>
    </row>
    <row r="5" spans="1:8" x14ac:dyDescent="0.2">
      <c r="E5" s="843"/>
      <c r="F5" s="843"/>
    </row>
    <row r="6" spans="1:8" ht="15" customHeight="1" x14ac:dyDescent="0.2">
      <c r="A6" s="1182" t="s">
        <v>1170</v>
      </c>
      <c r="B6" s="1182"/>
      <c r="C6" s="1182"/>
      <c r="D6" s="1182"/>
      <c r="E6" s="1182"/>
      <c r="F6" s="1182"/>
    </row>
    <row r="7" spans="1:8" ht="15" customHeight="1" x14ac:dyDescent="0.2">
      <c r="A7" s="1182" t="s">
        <v>1171</v>
      </c>
      <c r="B7" s="1182"/>
      <c r="C7" s="1182"/>
      <c r="D7" s="1182"/>
      <c r="E7" s="1182"/>
      <c r="F7" s="1182"/>
    </row>
    <row r="8" spans="1:8" ht="13.9" customHeight="1" x14ac:dyDescent="0.2">
      <c r="E8" s="845"/>
      <c r="F8" s="845"/>
    </row>
    <row r="9" spans="1:8" ht="12" customHeight="1" x14ac:dyDescent="0.2">
      <c r="E9" s="846"/>
      <c r="F9" s="847" t="s">
        <v>2</v>
      </c>
      <c r="H9" s="848"/>
    </row>
    <row r="10" spans="1:8" ht="19.5" customHeight="1" x14ac:dyDescent="0.2">
      <c r="A10" s="849" t="s">
        <v>950</v>
      </c>
      <c r="B10" s="850" t="s">
        <v>696</v>
      </c>
      <c r="C10" s="850" t="s">
        <v>1132</v>
      </c>
      <c r="D10" s="849" t="s">
        <v>1172</v>
      </c>
      <c r="E10" s="850" t="s">
        <v>1173</v>
      </c>
      <c r="F10" s="850" t="s">
        <v>1174</v>
      </c>
    </row>
    <row r="11" spans="1:8" s="853" customFormat="1" ht="9.75" customHeight="1" x14ac:dyDescent="0.2">
      <c r="A11" s="851">
        <v>1</v>
      </c>
      <c r="B11" s="851">
        <v>2</v>
      </c>
      <c r="C11" s="851">
        <v>3</v>
      </c>
      <c r="D11" s="852">
        <v>4</v>
      </c>
      <c r="E11" s="851">
        <v>5</v>
      </c>
      <c r="F11" s="851">
        <v>6</v>
      </c>
    </row>
    <row r="12" spans="1:8" ht="18" customHeight="1" x14ac:dyDescent="0.2">
      <c r="A12" s="854" t="s">
        <v>1175</v>
      </c>
      <c r="B12" s="855"/>
      <c r="C12" s="855"/>
      <c r="D12" s="856"/>
      <c r="E12" s="855"/>
      <c r="F12" s="857"/>
    </row>
    <row r="13" spans="1:8" ht="15" customHeight="1" x14ac:dyDescent="0.2">
      <c r="A13" s="858">
        <v>1</v>
      </c>
      <c r="B13" s="858">
        <v>801</v>
      </c>
      <c r="C13" s="858">
        <v>80104</v>
      </c>
      <c r="D13" s="858">
        <v>2310</v>
      </c>
      <c r="E13" s="859" t="s">
        <v>315</v>
      </c>
      <c r="F13" s="860">
        <v>500000</v>
      </c>
      <c r="H13" s="861"/>
    </row>
    <row r="14" spans="1:8" ht="16.5" customHeight="1" x14ac:dyDescent="0.2">
      <c r="A14" s="858">
        <v>2</v>
      </c>
      <c r="B14" s="862">
        <v>851</v>
      </c>
      <c r="C14" s="862">
        <v>85149</v>
      </c>
      <c r="D14" s="863">
        <v>2780</v>
      </c>
      <c r="E14" s="859" t="s">
        <v>1176</v>
      </c>
      <c r="F14" s="860">
        <v>21000</v>
      </c>
      <c r="G14" s="864"/>
      <c r="H14" s="861"/>
    </row>
    <row r="15" spans="1:8" ht="17.25" customHeight="1" x14ac:dyDescent="0.2">
      <c r="A15" s="862">
        <v>3</v>
      </c>
      <c r="B15" s="865">
        <v>851</v>
      </c>
      <c r="C15" s="865">
        <v>85154</v>
      </c>
      <c r="D15" s="865">
        <v>2330</v>
      </c>
      <c r="E15" s="859" t="s">
        <v>1177</v>
      </c>
      <c r="F15" s="860">
        <v>5000</v>
      </c>
    </row>
    <row r="16" spans="1:8" ht="24" customHeight="1" x14ac:dyDescent="0.2">
      <c r="A16" s="862">
        <v>4</v>
      </c>
      <c r="B16" s="865">
        <v>851</v>
      </c>
      <c r="C16" s="865">
        <v>85154</v>
      </c>
      <c r="D16" s="865">
        <v>2800</v>
      </c>
      <c r="E16" s="859" t="s">
        <v>1178</v>
      </c>
      <c r="F16" s="860">
        <f>0+100000</f>
        <v>100000</v>
      </c>
    </row>
    <row r="17" spans="1:6" ht="14.25" customHeight="1" x14ac:dyDescent="0.2">
      <c r="A17" s="862">
        <v>5</v>
      </c>
      <c r="B17" s="863">
        <v>853</v>
      </c>
      <c r="C17" s="863">
        <v>85333</v>
      </c>
      <c r="D17" s="863">
        <v>2320</v>
      </c>
      <c r="E17" s="866" t="s">
        <v>1179</v>
      </c>
      <c r="F17" s="860">
        <f>5090084</f>
        <v>5090084</v>
      </c>
    </row>
    <row r="18" spans="1:6" ht="16.899999999999999" customHeight="1" x14ac:dyDescent="0.2">
      <c r="A18" s="862">
        <v>6</v>
      </c>
      <c r="B18" s="865">
        <v>921</v>
      </c>
      <c r="C18" s="865">
        <v>92110</v>
      </c>
      <c r="D18" s="865">
        <v>6229</v>
      </c>
      <c r="E18" s="866" t="s">
        <v>1180</v>
      </c>
      <c r="F18" s="860">
        <f>F19</f>
        <v>5156.78</v>
      </c>
    </row>
    <row r="19" spans="1:6" s="873" customFormat="1" ht="12.75" customHeight="1" x14ac:dyDescent="0.2">
      <c r="A19" s="867"/>
      <c r="B19" s="868"/>
      <c r="C19" s="869"/>
      <c r="D19" s="870"/>
      <c r="E19" s="871" t="s">
        <v>1181</v>
      </c>
      <c r="F19" s="872">
        <v>5156.78</v>
      </c>
    </row>
    <row r="20" spans="1:6" ht="15.75" customHeight="1" x14ac:dyDescent="0.2">
      <c r="A20" s="858">
        <v>7</v>
      </c>
      <c r="B20" s="865">
        <v>921</v>
      </c>
      <c r="C20" s="865">
        <v>92113</v>
      </c>
      <c r="D20" s="858">
        <v>2800</v>
      </c>
      <c r="E20" s="874" t="s">
        <v>642</v>
      </c>
      <c r="F20" s="875">
        <f>F21</f>
        <v>240000</v>
      </c>
    </row>
    <row r="21" spans="1:6" s="873" customFormat="1" ht="12.75" customHeight="1" x14ac:dyDescent="0.2">
      <c r="A21" s="876"/>
      <c r="B21" s="877"/>
      <c r="C21" s="878"/>
      <c r="D21" s="879"/>
      <c r="E21" s="880" t="s">
        <v>1182</v>
      </c>
      <c r="F21" s="881">
        <v>240000</v>
      </c>
    </row>
    <row r="22" spans="1:6" s="873" customFormat="1" ht="16.5" customHeight="1" x14ac:dyDescent="0.2">
      <c r="A22" s="858">
        <v>8</v>
      </c>
      <c r="B22" s="865">
        <v>921</v>
      </c>
      <c r="C22" s="865">
        <v>92113</v>
      </c>
      <c r="D22" s="865">
        <v>6229</v>
      </c>
      <c r="E22" s="874" t="s">
        <v>1183</v>
      </c>
      <c r="F22" s="875">
        <f>F23</f>
        <v>25880.37</v>
      </c>
    </row>
    <row r="23" spans="1:6" s="873" customFormat="1" ht="12.75" customHeight="1" x14ac:dyDescent="0.2">
      <c r="A23" s="876"/>
      <c r="B23" s="877"/>
      <c r="C23" s="878"/>
      <c r="D23" s="879"/>
      <c r="E23" s="880" t="s">
        <v>1182</v>
      </c>
      <c r="F23" s="881">
        <v>25880.37</v>
      </c>
    </row>
    <row r="24" spans="1:6" s="873" customFormat="1" ht="16.899999999999999" customHeight="1" x14ac:dyDescent="0.2">
      <c r="A24" s="858">
        <v>9</v>
      </c>
      <c r="B24" s="865">
        <v>921</v>
      </c>
      <c r="C24" s="865">
        <v>92114</v>
      </c>
      <c r="D24" s="865">
        <v>6229</v>
      </c>
      <c r="E24" s="866" t="s">
        <v>1184</v>
      </c>
      <c r="F24" s="860">
        <f>F25</f>
        <v>8856.59</v>
      </c>
    </row>
    <row r="25" spans="1:6" s="873" customFormat="1" ht="12.75" customHeight="1" x14ac:dyDescent="0.2">
      <c r="A25" s="876"/>
      <c r="B25" s="877"/>
      <c r="C25" s="877"/>
      <c r="D25" s="882"/>
      <c r="E25" s="883" t="s">
        <v>1185</v>
      </c>
      <c r="F25" s="884">
        <v>8856.59</v>
      </c>
    </row>
    <row r="26" spans="1:6" ht="16.899999999999999" customHeight="1" x14ac:dyDescent="0.2">
      <c r="A26" s="858">
        <v>10</v>
      </c>
      <c r="B26" s="865">
        <v>921</v>
      </c>
      <c r="C26" s="865">
        <v>92116</v>
      </c>
      <c r="D26" s="865">
        <v>2800</v>
      </c>
      <c r="E26" s="866" t="s">
        <v>644</v>
      </c>
      <c r="F26" s="860">
        <f>F27</f>
        <v>50000</v>
      </c>
    </row>
    <row r="27" spans="1:6" s="873" customFormat="1" ht="12.75" customHeight="1" x14ac:dyDescent="0.2">
      <c r="A27" s="876"/>
      <c r="B27" s="877"/>
      <c r="C27" s="877"/>
      <c r="D27" s="882"/>
      <c r="E27" s="885" t="s">
        <v>1186</v>
      </c>
      <c r="F27" s="884">
        <v>50000</v>
      </c>
    </row>
    <row r="28" spans="1:6" s="873" customFormat="1" ht="16.5" customHeight="1" x14ac:dyDescent="0.2">
      <c r="A28" s="858">
        <v>11</v>
      </c>
      <c r="B28" s="865">
        <v>921</v>
      </c>
      <c r="C28" s="865">
        <v>92116</v>
      </c>
      <c r="D28" s="865">
        <v>6229</v>
      </c>
      <c r="E28" s="866" t="s">
        <v>1187</v>
      </c>
      <c r="F28" s="860">
        <f>F29</f>
        <v>37139.85</v>
      </c>
    </row>
    <row r="29" spans="1:6" s="873" customFormat="1" ht="12.75" customHeight="1" x14ac:dyDescent="0.2">
      <c r="A29" s="876"/>
      <c r="B29" s="877"/>
      <c r="C29" s="877"/>
      <c r="D29" s="882"/>
      <c r="E29" s="885" t="s">
        <v>1186</v>
      </c>
      <c r="F29" s="884">
        <v>37139.85</v>
      </c>
    </row>
    <row r="30" spans="1:6" s="886" customFormat="1" ht="17.25" customHeight="1" x14ac:dyDescent="0.2">
      <c r="A30" s="1334"/>
      <c r="B30" s="1335"/>
      <c r="C30" s="1335"/>
      <c r="D30" s="1336"/>
      <c r="E30" s="1337" t="s">
        <v>68</v>
      </c>
      <c r="F30" s="1338">
        <f>SUM(F13,F14,F15,F16,F17,F18,F20,F22,F24,F26,F28)</f>
        <v>6083117.5899999999</v>
      </c>
    </row>
    <row r="31" spans="1:6" ht="15.75" customHeight="1" x14ac:dyDescent="0.2">
      <c r="A31" s="854" t="s">
        <v>1188</v>
      </c>
      <c r="B31" s="855"/>
      <c r="C31" s="855"/>
      <c r="D31" s="856"/>
      <c r="E31" s="855"/>
      <c r="F31" s="857"/>
    </row>
    <row r="32" spans="1:6" ht="16.899999999999999" customHeight="1" x14ac:dyDescent="0.2">
      <c r="A32" s="858">
        <v>1</v>
      </c>
      <c r="B32" s="865">
        <v>853</v>
      </c>
      <c r="C32" s="865">
        <v>85395</v>
      </c>
      <c r="D32" s="865">
        <v>2510</v>
      </c>
      <c r="E32" s="866" t="s">
        <v>96</v>
      </c>
      <c r="F32" s="860">
        <f>F33</f>
        <v>1186180</v>
      </c>
    </row>
    <row r="33" spans="1:6" s="873" customFormat="1" ht="12.75" customHeight="1" x14ac:dyDescent="0.2">
      <c r="A33" s="876"/>
      <c r="B33" s="877"/>
      <c r="C33" s="878"/>
      <c r="D33" s="879"/>
      <c r="E33" s="887" t="s">
        <v>1189</v>
      </c>
      <c r="F33" s="888">
        <v>1186180</v>
      </c>
    </row>
    <row r="34" spans="1:6" ht="16.899999999999999" customHeight="1" x14ac:dyDescent="0.2">
      <c r="A34" s="858">
        <v>2</v>
      </c>
      <c r="B34" s="865">
        <v>921</v>
      </c>
      <c r="C34" s="865">
        <v>92110</v>
      </c>
      <c r="D34" s="865">
        <v>2480</v>
      </c>
      <c r="E34" s="866" t="s">
        <v>641</v>
      </c>
      <c r="F34" s="889">
        <f>F35</f>
        <v>1380000</v>
      </c>
    </row>
    <row r="35" spans="1:6" s="873" customFormat="1" ht="12.75" customHeight="1" x14ac:dyDescent="0.2">
      <c r="A35" s="876"/>
      <c r="B35" s="877"/>
      <c r="C35" s="878"/>
      <c r="D35" s="890"/>
      <c r="E35" s="891" t="s">
        <v>1181</v>
      </c>
      <c r="F35" s="888">
        <v>1380000</v>
      </c>
    </row>
    <row r="36" spans="1:6" ht="16.899999999999999" customHeight="1" x14ac:dyDescent="0.2">
      <c r="A36" s="858">
        <v>3</v>
      </c>
      <c r="B36" s="865">
        <v>921</v>
      </c>
      <c r="C36" s="865">
        <v>92113</v>
      </c>
      <c r="D36" s="865">
        <v>2480</v>
      </c>
      <c r="E36" s="866" t="s">
        <v>642</v>
      </c>
      <c r="F36" s="889">
        <f>F37</f>
        <v>10500000</v>
      </c>
    </row>
    <row r="37" spans="1:6" s="873" customFormat="1" ht="12" customHeight="1" x14ac:dyDescent="0.2">
      <c r="A37" s="892"/>
      <c r="B37" s="878"/>
      <c r="C37" s="878"/>
      <c r="D37" s="878"/>
      <c r="E37" s="883" t="s">
        <v>1190</v>
      </c>
      <c r="F37" s="893">
        <v>10500000</v>
      </c>
    </row>
    <row r="38" spans="1:6" ht="16.899999999999999" customHeight="1" x14ac:dyDescent="0.2">
      <c r="A38" s="858">
        <v>4</v>
      </c>
      <c r="B38" s="865">
        <v>921</v>
      </c>
      <c r="C38" s="865">
        <v>92114</v>
      </c>
      <c r="D38" s="865">
        <v>2480</v>
      </c>
      <c r="E38" s="866" t="s">
        <v>643</v>
      </c>
      <c r="F38" s="889">
        <f>F39</f>
        <v>2220000</v>
      </c>
    </row>
    <row r="39" spans="1:6" s="873" customFormat="1" ht="12.75" customHeight="1" x14ac:dyDescent="0.2">
      <c r="A39" s="876"/>
      <c r="B39" s="877"/>
      <c r="C39" s="877"/>
      <c r="D39" s="877"/>
      <c r="E39" s="883" t="s">
        <v>1185</v>
      </c>
      <c r="F39" s="888">
        <v>2220000</v>
      </c>
    </row>
    <row r="40" spans="1:6" ht="16.899999999999999" customHeight="1" x14ac:dyDescent="0.2">
      <c r="A40" s="858">
        <v>5</v>
      </c>
      <c r="B40" s="865">
        <v>921</v>
      </c>
      <c r="C40" s="865">
        <v>92116</v>
      </c>
      <c r="D40" s="865">
        <v>2480</v>
      </c>
      <c r="E40" s="866" t="s">
        <v>644</v>
      </c>
      <c r="F40" s="860">
        <f>F41</f>
        <v>6400000</v>
      </c>
    </row>
    <row r="41" spans="1:6" s="873" customFormat="1" ht="12.75" customHeight="1" x14ac:dyDescent="0.2">
      <c r="A41" s="876"/>
      <c r="B41" s="894"/>
      <c r="C41" s="894"/>
      <c r="D41" s="882"/>
      <c r="E41" s="883" t="s">
        <v>1186</v>
      </c>
      <c r="F41" s="888">
        <v>6400000</v>
      </c>
    </row>
    <row r="42" spans="1:6" s="886" customFormat="1" ht="18" customHeight="1" x14ac:dyDescent="0.2">
      <c r="A42" s="1334"/>
      <c r="B42" s="1335"/>
      <c r="C42" s="1335"/>
      <c r="D42" s="1336"/>
      <c r="E42" s="1337" t="s">
        <v>68</v>
      </c>
      <c r="F42" s="1338">
        <f>SUM(F32,F34,F36,F38,F40)</f>
        <v>21686180</v>
      </c>
    </row>
    <row r="43" spans="1:6" s="886" customFormat="1" ht="16.5" customHeight="1" x14ac:dyDescent="0.2">
      <c r="A43" s="854"/>
      <c r="B43" s="1339"/>
      <c r="C43" s="1339"/>
      <c r="D43" s="1340"/>
      <c r="E43" s="1341" t="s">
        <v>1139</v>
      </c>
      <c r="F43" s="1342">
        <f>SUM(F30,F42)</f>
        <v>27769297.59</v>
      </c>
    </row>
    <row r="45" spans="1:6" x14ac:dyDescent="0.2">
      <c r="A45" s="895"/>
      <c r="F45" s="861"/>
    </row>
    <row r="46" spans="1:6" x14ac:dyDescent="0.2">
      <c r="A46" s="896" t="s">
        <v>1191</v>
      </c>
      <c r="F46" s="861"/>
    </row>
    <row r="47" spans="1:6" x14ac:dyDescent="0.2">
      <c r="A47" s="896" t="s">
        <v>1192</v>
      </c>
    </row>
  </sheetData>
  <mergeCells count="2">
    <mergeCell ref="A6:F6"/>
    <mergeCell ref="A7:F7"/>
  </mergeCells>
  <printOptions horizontalCentered="1"/>
  <pageMargins left="0.59055118110236227" right="0.59055118110236227" top="0.74803149606299213" bottom="0.62992125984251968" header="0.31496062992125984" footer="0.31496062992125984"/>
  <pageSetup paperSize="9" scale="81" firstPageNumber="65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6C0879-2F10-49F3-85B4-61296ECBBC89}">
  <dimension ref="A1:H152"/>
  <sheetViews>
    <sheetView zoomScale="130" zoomScaleNormal="130" workbookViewId="0">
      <selection activeCell="F2" sqref="F2"/>
    </sheetView>
  </sheetViews>
  <sheetFormatPr defaultRowHeight="12" x14ac:dyDescent="0.2"/>
  <cols>
    <col min="1" max="1" width="4.42578125" style="897" customWidth="1"/>
    <col min="2" max="2" width="5.7109375" style="897" customWidth="1"/>
    <col min="3" max="3" width="8.42578125" style="897" customWidth="1"/>
    <col min="4" max="4" width="6.5703125" style="898" customWidth="1"/>
    <col min="5" max="5" width="47.42578125" style="897" customWidth="1"/>
    <col min="6" max="6" width="23.28515625" style="897" customWidth="1"/>
    <col min="7" max="7" width="9.140625" style="897"/>
    <col min="8" max="8" width="12.28515625" style="897" customWidth="1"/>
    <col min="9" max="256" width="9.140625" style="897"/>
    <col min="257" max="257" width="4.42578125" style="897" customWidth="1"/>
    <col min="258" max="258" width="5.7109375" style="897" customWidth="1"/>
    <col min="259" max="259" width="8.42578125" style="897" customWidth="1"/>
    <col min="260" max="260" width="6.5703125" style="897" customWidth="1"/>
    <col min="261" max="261" width="47.42578125" style="897" customWidth="1"/>
    <col min="262" max="262" width="21.42578125" style="897" customWidth="1"/>
    <col min="263" max="263" width="9.140625" style="897"/>
    <col min="264" max="264" width="12.28515625" style="897" customWidth="1"/>
    <col min="265" max="512" width="9.140625" style="897"/>
    <col min="513" max="513" width="4.42578125" style="897" customWidth="1"/>
    <col min="514" max="514" width="5.7109375" style="897" customWidth="1"/>
    <col min="515" max="515" width="8.42578125" style="897" customWidth="1"/>
    <col min="516" max="516" width="6.5703125" style="897" customWidth="1"/>
    <col min="517" max="517" width="47.42578125" style="897" customWidth="1"/>
    <col min="518" max="518" width="21.42578125" style="897" customWidth="1"/>
    <col min="519" max="519" width="9.140625" style="897"/>
    <col min="520" max="520" width="12.28515625" style="897" customWidth="1"/>
    <col min="521" max="768" width="9.140625" style="897"/>
    <col min="769" max="769" width="4.42578125" style="897" customWidth="1"/>
    <col min="770" max="770" width="5.7109375" style="897" customWidth="1"/>
    <col min="771" max="771" width="8.42578125" style="897" customWidth="1"/>
    <col min="772" max="772" width="6.5703125" style="897" customWidth="1"/>
    <col min="773" max="773" width="47.42578125" style="897" customWidth="1"/>
    <col min="774" max="774" width="21.42578125" style="897" customWidth="1"/>
    <col min="775" max="775" width="9.140625" style="897"/>
    <col min="776" max="776" width="12.28515625" style="897" customWidth="1"/>
    <col min="777" max="1024" width="9.140625" style="897"/>
    <col min="1025" max="1025" width="4.42578125" style="897" customWidth="1"/>
    <col min="1026" max="1026" width="5.7109375" style="897" customWidth="1"/>
    <col min="1027" max="1027" width="8.42578125" style="897" customWidth="1"/>
    <col min="1028" max="1028" width="6.5703125" style="897" customWidth="1"/>
    <col min="1029" max="1029" width="47.42578125" style="897" customWidth="1"/>
    <col min="1030" max="1030" width="21.42578125" style="897" customWidth="1"/>
    <col min="1031" max="1031" width="9.140625" style="897"/>
    <col min="1032" max="1032" width="12.28515625" style="897" customWidth="1"/>
    <col min="1033" max="1280" width="9.140625" style="897"/>
    <col min="1281" max="1281" width="4.42578125" style="897" customWidth="1"/>
    <col min="1282" max="1282" width="5.7109375" style="897" customWidth="1"/>
    <col min="1283" max="1283" width="8.42578125" style="897" customWidth="1"/>
    <col min="1284" max="1284" width="6.5703125" style="897" customWidth="1"/>
    <col min="1285" max="1285" width="47.42578125" style="897" customWidth="1"/>
    <col min="1286" max="1286" width="21.42578125" style="897" customWidth="1"/>
    <col min="1287" max="1287" width="9.140625" style="897"/>
    <col min="1288" max="1288" width="12.28515625" style="897" customWidth="1"/>
    <col min="1289" max="1536" width="9.140625" style="897"/>
    <col min="1537" max="1537" width="4.42578125" style="897" customWidth="1"/>
    <col min="1538" max="1538" width="5.7109375" style="897" customWidth="1"/>
    <col min="1539" max="1539" width="8.42578125" style="897" customWidth="1"/>
    <col min="1540" max="1540" width="6.5703125" style="897" customWidth="1"/>
    <col min="1541" max="1541" width="47.42578125" style="897" customWidth="1"/>
    <col min="1542" max="1542" width="21.42578125" style="897" customWidth="1"/>
    <col min="1543" max="1543" width="9.140625" style="897"/>
    <col min="1544" max="1544" width="12.28515625" style="897" customWidth="1"/>
    <col min="1545" max="1792" width="9.140625" style="897"/>
    <col min="1793" max="1793" width="4.42578125" style="897" customWidth="1"/>
    <col min="1794" max="1794" width="5.7109375" style="897" customWidth="1"/>
    <col min="1795" max="1795" width="8.42578125" style="897" customWidth="1"/>
    <col min="1796" max="1796" width="6.5703125" style="897" customWidth="1"/>
    <col min="1797" max="1797" width="47.42578125" style="897" customWidth="1"/>
    <col min="1798" max="1798" width="21.42578125" style="897" customWidth="1"/>
    <col min="1799" max="1799" width="9.140625" style="897"/>
    <col min="1800" max="1800" width="12.28515625" style="897" customWidth="1"/>
    <col min="1801" max="2048" width="9.140625" style="897"/>
    <col min="2049" max="2049" width="4.42578125" style="897" customWidth="1"/>
    <col min="2050" max="2050" width="5.7109375" style="897" customWidth="1"/>
    <col min="2051" max="2051" width="8.42578125" style="897" customWidth="1"/>
    <col min="2052" max="2052" width="6.5703125" style="897" customWidth="1"/>
    <col min="2053" max="2053" width="47.42578125" style="897" customWidth="1"/>
    <col min="2054" max="2054" width="21.42578125" style="897" customWidth="1"/>
    <col min="2055" max="2055" width="9.140625" style="897"/>
    <col min="2056" max="2056" width="12.28515625" style="897" customWidth="1"/>
    <col min="2057" max="2304" width="9.140625" style="897"/>
    <col min="2305" max="2305" width="4.42578125" style="897" customWidth="1"/>
    <col min="2306" max="2306" width="5.7109375" style="897" customWidth="1"/>
    <col min="2307" max="2307" width="8.42578125" style="897" customWidth="1"/>
    <col min="2308" max="2308" width="6.5703125" style="897" customWidth="1"/>
    <col min="2309" max="2309" width="47.42578125" style="897" customWidth="1"/>
    <col min="2310" max="2310" width="21.42578125" style="897" customWidth="1"/>
    <col min="2311" max="2311" width="9.140625" style="897"/>
    <col min="2312" max="2312" width="12.28515625" style="897" customWidth="1"/>
    <col min="2313" max="2560" width="9.140625" style="897"/>
    <col min="2561" max="2561" width="4.42578125" style="897" customWidth="1"/>
    <col min="2562" max="2562" width="5.7109375" style="897" customWidth="1"/>
    <col min="2563" max="2563" width="8.42578125" style="897" customWidth="1"/>
    <col min="2564" max="2564" width="6.5703125" style="897" customWidth="1"/>
    <col min="2565" max="2565" width="47.42578125" style="897" customWidth="1"/>
    <col min="2566" max="2566" width="21.42578125" style="897" customWidth="1"/>
    <col min="2567" max="2567" width="9.140625" style="897"/>
    <col min="2568" max="2568" width="12.28515625" style="897" customWidth="1"/>
    <col min="2569" max="2816" width="9.140625" style="897"/>
    <col min="2817" max="2817" width="4.42578125" style="897" customWidth="1"/>
    <col min="2818" max="2818" width="5.7109375" style="897" customWidth="1"/>
    <col min="2819" max="2819" width="8.42578125" style="897" customWidth="1"/>
    <col min="2820" max="2820" width="6.5703125" style="897" customWidth="1"/>
    <col min="2821" max="2821" width="47.42578125" style="897" customWidth="1"/>
    <col min="2822" max="2822" width="21.42578125" style="897" customWidth="1"/>
    <col min="2823" max="2823" width="9.140625" style="897"/>
    <col min="2824" max="2824" width="12.28515625" style="897" customWidth="1"/>
    <col min="2825" max="3072" width="9.140625" style="897"/>
    <col min="3073" max="3073" width="4.42578125" style="897" customWidth="1"/>
    <col min="3074" max="3074" width="5.7109375" style="897" customWidth="1"/>
    <col min="3075" max="3075" width="8.42578125" style="897" customWidth="1"/>
    <col min="3076" max="3076" width="6.5703125" style="897" customWidth="1"/>
    <col min="3077" max="3077" width="47.42578125" style="897" customWidth="1"/>
    <col min="3078" max="3078" width="21.42578125" style="897" customWidth="1"/>
    <col min="3079" max="3079" width="9.140625" style="897"/>
    <col min="3080" max="3080" width="12.28515625" style="897" customWidth="1"/>
    <col min="3081" max="3328" width="9.140625" style="897"/>
    <col min="3329" max="3329" width="4.42578125" style="897" customWidth="1"/>
    <col min="3330" max="3330" width="5.7109375" style="897" customWidth="1"/>
    <col min="3331" max="3331" width="8.42578125" style="897" customWidth="1"/>
    <col min="3332" max="3332" width="6.5703125" style="897" customWidth="1"/>
    <col min="3333" max="3333" width="47.42578125" style="897" customWidth="1"/>
    <col min="3334" max="3334" width="21.42578125" style="897" customWidth="1"/>
    <col min="3335" max="3335" width="9.140625" style="897"/>
    <col min="3336" max="3336" width="12.28515625" style="897" customWidth="1"/>
    <col min="3337" max="3584" width="9.140625" style="897"/>
    <col min="3585" max="3585" width="4.42578125" style="897" customWidth="1"/>
    <col min="3586" max="3586" width="5.7109375" style="897" customWidth="1"/>
    <col min="3587" max="3587" width="8.42578125" style="897" customWidth="1"/>
    <col min="3588" max="3588" width="6.5703125" style="897" customWidth="1"/>
    <col min="3589" max="3589" width="47.42578125" style="897" customWidth="1"/>
    <col min="3590" max="3590" width="21.42578125" style="897" customWidth="1"/>
    <col min="3591" max="3591" width="9.140625" style="897"/>
    <col min="3592" max="3592" width="12.28515625" style="897" customWidth="1"/>
    <col min="3593" max="3840" width="9.140625" style="897"/>
    <col min="3841" max="3841" width="4.42578125" style="897" customWidth="1"/>
    <col min="3842" max="3842" width="5.7109375" style="897" customWidth="1"/>
    <col min="3843" max="3843" width="8.42578125" style="897" customWidth="1"/>
    <col min="3844" max="3844" width="6.5703125" style="897" customWidth="1"/>
    <col min="3845" max="3845" width="47.42578125" style="897" customWidth="1"/>
    <col min="3846" max="3846" width="21.42578125" style="897" customWidth="1"/>
    <col min="3847" max="3847" width="9.140625" style="897"/>
    <col min="3848" max="3848" width="12.28515625" style="897" customWidth="1"/>
    <col min="3849" max="4096" width="9.140625" style="897"/>
    <col min="4097" max="4097" width="4.42578125" style="897" customWidth="1"/>
    <col min="4098" max="4098" width="5.7109375" style="897" customWidth="1"/>
    <col min="4099" max="4099" width="8.42578125" style="897" customWidth="1"/>
    <col min="4100" max="4100" width="6.5703125" style="897" customWidth="1"/>
    <col min="4101" max="4101" width="47.42578125" style="897" customWidth="1"/>
    <col min="4102" max="4102" width="21.42578125" style="897" customWidth="1"/>
    <col min="4103" max="4103" width="9.140625" style="897"/>
    <col min="4104" max="4104" width="12.28515625" style="897" customWidth="1"/>
    <col min="4105" max="4352" width="9.140625" style="897"/>
    <col min="4353" max="4353" width="4.42578125" style="897" customWidth="1"/>
    <col min="4354" max="4354" width="5.7109375" style="897" customWidth="1"/>
    <col min="4355" max="4355" width="8.42578125" style="897" customWidth="1"/>
    <col min="4356" max="4356" width="6.5703125" style="897" customWidth="1"/>
    <col min="4357" max="4357" width="47.42578125" style="897" customWidth="1"/>
    <col min="4358" max="4358" width="21.42578125" style="897" customWidth="1"/>
    <col min="4359" max="4359" width="9.140625" style="897"/>
    <col min="4360" max="4360" width="12.28515625" style="897" customWidth="1"/>
    <col min="4361" max="4608" width="9.140625" style="897"/>
    <col min="4609" max="4609" width="4.42578125" style="897" customWidth="1"/>
    <col min="4610" max="4610" width="5.7109375" style="897" customWidth="1"/>
    <col min="4611" max="4611" width="8.42578125" style="897" customWidth="1"/>
    <col min="4612" max="4612" width="6.5703125" style="897" customWidth="1"/>
    <col min="4613" max="4613" width="47.42578125" style="897" customWidth="1"/>
    <col min="4614" max="4614" width="21.42578125" style="897" customWidth="1"/>
    <col min="4615" max="4615" width="9.140625" style="897"/>
    <col min="4616" max="4616" width="12.28515625" style="897" customWidth="1"/>
    <col min="4617" max="4864" width="9.140625" style="897"/>
    <col min="4865" max="4865" width="4.42578125" style="897" customWidth="1"/>
    <col min="4866" max="4866" width="5.7109375" style="897" customWidth="1"/>
    <col min="4867" max="4867" width="8.42578125" style="897" customWidth="1"/>
    <col min="4868" max="4868" width="6.5703125" style="897" customWidth="1"/>
    <col min="4869" max="4869" width="47.42578125" style="897" customWidth="1"/>
    <col min="4870" max="4870" width="21.42578125" style="897" customWidth="1"/>
    <col min="4871" max="4871" width="9.140625" style="897"/>
    <col min="4872" max="4872" width="12.28515625" style="897" customWidth="1"/>
    <col min="4873" max="5120" width="9.140625" style="897"/>
    <col min="5121" max="5121" width="4.42578125" style="897" customWidth="1"/>
    <col min="5122" max="5122" width="5.7109375" style="897" customWidth="1"/>
    <col min="5123" max="5123" width="8.42578125" style="897" customWidth="1"/>
    <col min="5124" max="5124" width="6.5703125" style="897" customWidth="1"/>
    <col min="5125" max="5125" width="47.42578125" style="897" customWidth="1"/>
    <col min="5126" max="5126" width="21.42578125" style="897" customWidth="1"/>
    <col min="5127" max="5127" width="9.140625" style="897"/>
    <col min="5128" max="5128" width="12.28515625" style="897" customWidth="1"/>
    <col min="5129" max="5376" width="9.140625" style="897"/>
    <col min="5377" max="5377" width="4.42578125" style="897" customWidth="1"/>
    <col min="5378" max="5378" width="5.7109375" style="897" customWidth="1"/>
    <col min="5379" max="5379" width="8.42578125" style="897" customWidth="1"/>
    <col min="5380" max="5380" width="6.5703125" style="897" customWidth="1"/>
    <col min="5381" max="5381" width="47.42578125" style="897" customWidth="1"/>
    <col min="5382" max="5382" width="21.42578125" style="897" customWidth="1"/>
    <col min="5383" max="5383" width="9.140625" style="897"/>
    <col min="5384" max="5384" width="12.28515625" style="897" customWidth="1"/>
    <col min="5385" max="5632" width="9.140625" style="897"/>
    <col min="5633" max="5633" width="4.42578125" style="897" customWidth="1"/>
    <col min="5634" max="5634" width="5.7109375" style="897" customWidth="1"/>
    <col min="5635" max="5635" width="8.42578125" style="897" customWidth="1"/>
    <col min="5636" max="5636" width="6.5703125" style="897" customWidth="1"/>
    <col min="5637" max="5637" width="47.42578125" style="897" customWidth="1"/>
    <col min="5638" max="5638" width="21.42578125" style="897" customWidth="1"/>
    <col min="5639" max="5639" width="9.140625" style="897"/>
    <col min="5640" max="5640" width="12.28515625" style="897" customWidth="1"/>
    <col min="5641" max="5888" width="9.140625" style="897"/>
    <col min="5889" max="5889" width="4.42578125" style="897" customWidth="1"/>
    <col min="5890" max="5890" width="5.7109375" style="897" customWidth="1"/>
    <col min="5891" max="5891" width="8.42578125" style="897" customWidth="1"/>
    <col min="5892" max="5892" width="6.5703125" style="897" customWidth="1"/>
    <col min="5893" max="5893" width="47.42578125" style="897" customWidth="1"/>
    <col min="5894" max="5894" width="21.42578125" style="897" customWidth="1"/>
    <col min="5895" max="5895" width="9.140625" style="897"/>
    <col min="5896" max="5896" width="12.28515625" style="897" customWidth="1"/>
    <col min="5897" max="6144" width="9.140625" style="897"/>
    <col min="6145" max="6145" width="4.42578125" style="897" customWidth="1"/>
    <col min="6146" max="6146" width="5.7109375" style="897" customWidth="1"/>
    <col min="6147" max="6147" width="8.42578125" style="897" customWidth="1"/>
    <col min="6148" max="6148" width="6.5703125" style="897" customWidth="1"/>
    <col min="6149" max="6149" width="47.42578125" style="897" customWidth="1"/>
    <col min="6150" max="6150" width="21.42578125" style="897" customWidth="1"/>
    <col min="6151" max="6151" width="9.140625" style="897"/>
    <col min="6152" max="6152" width="12.28515625" style="897" customWidth="1"/>
    <col min="6153" max="6400" width="9.140625" style="897"/>
    <col min="6401" max="6401" width="4.42578125" style="897" customWidth="1"/>
    <col min="6402" max="6402" width="5.7109375" style="897" customWidth="1"/>
    <col min="6403" max="6403" width="8.42578125" style="897" customWidth="1"/>
    <col min="6404" max="6404" width="6.5703125" style="897" customWidth="1"/>
    <col min="6405" max="6405" width="47.42578125" style="897" customWidth="1"/>
    <col min="6406" max="6406" width="21.42578125" style="897" customWidth="1"/>
    <col min="6407" max="6407" width="9.140625" style="897"/>
    <col min="6408" max="6408" width="12.28515625" style="897" customWidth="1"/>
    <col min="6409" max="6656" width="9.140625" style="897"/>
    <col min="6657" max="6657" width="4.42578125" style="897" customWidth="1"/>
    <col min="6658" max="6658" width="5.7109375" style="897" customWidth="1"/>
    <col min="6659" max="6659" width="8.42578125" style="897" customWidth="1"/>
    <col min="6660" max="6660" width="6.5703125" style="897" customWidth="1"/>
    <col min="6661" max="6661" width="47.42578125" style="897" customWidth="1"/>
    <col min="6662" max="6662" width="21.42578125" style="897" customWidth="1"/>
    <col min="6663" max="6663" width="9.140625" style="897"/>
    <col min="6664" max="6664" width="12.28515625" style="897" customWidth="1"/>
    <col min="6665" max="6912" width="9.140625" style="897"/>
    <col min="6913" max="6913" width="4.42578125" style="897" customWidth="1"/>
    <col min="6914" max="6914" width="5.7109375" style="897" customWidth="1"/>
    <col min="6915" max="6915" width="8.42578125" style="897" customWidth="1"/>
    <col min="6916" max="6916" width="6.5703125" style="897" customWidth="1"/>
    <col min="6917" max="6917" width="47.42578125" style="897" customWidth="1"/>
    <col min="6918" max="6918" width="21.42578125" style="897" customWidth="1"/>
    <col min="6919" max="6919" width="9.140625" style="897"/>
    <col min="6920" max="6920" width="12.28515625" style="897" customWidth="1"/>
    <col min="6921" max="7168" width="9.140625" style="897"/>
    <col min="7169" max="7169" width="4.42578125" style="897" customWidth="1"/>
    <col min="7170" max="7170" width="5.7109375" style="897" customWidth="1"/>
    <col min="7171" max="7171" width="8.42578125" style="897" customWidth="1"/>
    <col min="7172" max="7172" width="6.5703125" style="897" customWidth="1"/>
    <col min="7173" max="7173" width="47.42578125" style="897" customWidth="1"/>
    <col min="7174" max="7174" width="21.42578125" style="897" customWidth="1"/>
    <col min="7175" max="7175" width="9.140625" style="897"/>
    <col min="7176" max="7176" width="12.28515625" style="897" customWidth="1"/>
    <col min="7177" max="7424" width="9.140625" style="897"/>
    <col min="7425" max="7425" width="4.42578125" style="897" customWidth="1"/>
    <col min="7426" max="7426" width="5.7109375" style="897" customWidth="1"/>
    <col min="7427" max="7427" width="8.42578125" style="897" customWidth="1"/>
    <col min="7428" max="7428" width="6.5703125" style="897" customWidth="1"/>
    <col min="7429" max="7429" width="47.42578125" style="897" customWidth="1"/>
    <col min="7430" max="7430" width="21.42578125" style="897" customWidth="1"/>
    <col min="7431" max="7431" width="9.140625" style="897"/>
    <col min="7432" max="7432" width="12.28515625" style="897" customWidth="1"/>
    <col min="7433" max="7680" width="9.140625" style="897"/>
    <col min="7681" max="7681" width="4.42578125" style="897" customWidth="1"/>
    <col min="7682" max="7682" width="5.7109375" style="897" customWidth="1"/>
    <col min="7683" max="7683" width="8.42578125" style="897" customWidth="1"/>
    <col min="7684" max="7684" width="6.5703125" style="897" customWidth="1"/>
    <col min="7685" max="7685" width="47.42578125" style="897" customWidth="1"/>
    <col min="7686" max="7686" width="21.42578125" style="897" customWidth="1"/>
    <col min="7687" max="7687" width="9.140625" style="897"/>
    <col min="7688" max="7688" width="12.28515625" style="897" customWidth="1"/>
    <col min="7689" max="7936" width="9.140625" style="897"/>
    <col min="7937" max="7937" width="4.42578125" style="897" customWidth="1"/>
    <col min="7938" max="7938" width="5.7109375" style="897" customWidth="1"/>
    <col min="7939" max="7939" width="8.42578125" style="897" customWidth="1"/>
    <col min="7940" max="7940" width="6.5703125" style="897" customWidth="1"/>
    <col min="7941" max="7941" width="47.42578125" style="897" customWidth="1"/>
    <col min="7942" max="7942" width="21.42578125" style="897" customWidth="1"/>
    <col min="7943" max="7943" width="9.140625" style="897"/>
    <col min="7944" max="7944" width="12.28515625" style="897" customWidth="1"/>
    <col min="7945" max="8192" width="9.140625" style="897"/>
    <col min="8193" max="8193" width="4.42578125" style="897" customWidth="1"/>
    <col min="8194" max="8194" width="5.7109375" style="897" customWidth="1"/>
    <col min="8195" max="8195" width="8.42578125" style="897" customWidth="1"/>
    <col min="8196" max="8196" width="6.5703125" style="897" customWidth="1"/>
    <col min="8197" max="8197" width="47.42578125" style="897" customWidth="1"/>
    <col min="8198" max="8198" width="21.42578125" style="897" customWidth="1"/>
    <col min="8199" max="8199" width="9.140625" style="897"/>
    <col min="8200" max="8200" width="12.28515625" style="897" customWidth="1"/>
    <col min="8201" max="8448" width="9.140625" style="897"/>
    <col min="8449" max="8449" width="4.42578125" style="897" customWidth="1"/>
    <col min="8450" max="8450" width="5.7109375" style="897" customWidth="1"/>
    <col min="8451" max="8451" width="8.42578125" style="897" customWidth="1"/>
    <col min="8452" max="8452" width="6.5703125" style="897" customWidth="1"/>
    <col min="8453" max="8453" width="47.42578125" style="897" customWidth="1"/>
    <col min="8454" max="8454" width="21.42578125" style="897" customWidth="1"/>
    <col min="8455" max="8455" width="9.140625" style="897"/>
    <col min="8456" max="8456" width="12.28515625" style="897" customWidth="1"/>
    <col min="8457" max="8704" width="9.140625" style="897"/>
    <col min="8705" max="8705" width="4.42578125" style="897" customWidth="1"/>
    <col min="8706" max="8706" width="5.7109375" style="897" customWidth="1"/>
    <col min="8707" max="8707" width="8.42578125" style="897" customWidth="1"/>
    <col min="8708" max="8708" width="6.5703125" style="897" customWidth="1"/>
    <col min="8709" max="8709" width="47.42578125" style="897" customWidth="1"/>
    <col min="8710" max="8710" width="21.42578125" style="897" customWidth="1"/>
    <col min="8711" max="8711" width="9.140625" style="897"/>
    <col min="8712" max="8712" width="12.28515625" style="897" customWidth="1"/>
    <col min="8713" max="8960" width="9.140625" style="897"/>
    <col min="8961" max="8961" width="4.42578125" style="897" customWidth="1"/>
    <col min="8962" max="8962" width="5.7109375" style="897" customWidth="1"/>
    <col min="8963" max="8963" width="8.42578125" style="897" customWidth="1"/>
    <col min="8964" max="8964" width="6.5703125" style="897" customWidth="1"/>
    <col min="8965" max="8965" width="47.42578125" style="897" customWidth="1"/>
    <col min="8966" max="8966" width="21.42578125" style="897" customWidth="1"/>
    <col min="8967" max="8967" width="9.140625" style="897"/>
    <col min="8968" max="8968" width="12.28515625" style="897" customWidth="1"/>
    <col min="8969" max="9216" width="9.140625" style="897"/>
    <col min="9217" max="9217" width="4.42578125" style="897" customWidth="1"/>
    <col min="9218" max="9218" width="5.7109375" style="897" customWidth="1"/>
    <col min="9219" max="9219" width="8.42578125" style="897" customWidth="1"/>
    <col min="9220" max="9220" width="6.5703125" style="897" customWidth="1"/>
    <col min="9221" max="9221" width="47.42578125" style="897" customWidth="1"/>
    <col min="9222" max="9222" width="21.42578125" style="897" customWidth="1"/>
    <col min="9223" max="9223" width="9.140625" style="897"/>
    <col min="9224" max="9224" width="12.28515625" style="897" customWidth="1"/>
    <col min="9225" max="9472" width="9.140625" style="897"/>
    <col min="9473" max="9473" width="4.42578125" style="897" customWidth="1"/>
    <col min="9474" max="9474" width="5.7109375" style="897" customWidth="1"/>
    <col min="9475" max="9475" width="8.42578125" style="897" customWidth="1"/>
    <col min="9476" max="9476" width="6.5703125" style="897" customWidth="1"/>
    <col min="9477" max="9477" width="47.42578125" style="897" customWidth="1"/>
    <col min="9478" max="9478" width="21.42578125" style="897" customWidth="1"/>
    <col min="9479" max="9479" width="9.140625" style="897"/>
    <col min="9480" max="9480" width="12.28515625" style="897" customWidth="1"/>
    <col min="9481" max="9728" width="9.140625" style="897"/>
    <col min="9729" max="9729" width="4.42578125" style="897" customWidth="1"/>
    <col min="9730" max="9730" width="5.7109375" style="897" customWidth="1"/>
    <col min="9731" max="9731" width="8.42578125" style="897" customWidth="1"/>
    <col min="9732" max="9732" width="6.5703125" style="897" customWidth="1"/>
    <col min="9733" max="9733" width="47.42578125" style="897" customWidth="1"/>
    <col min="9734" max="9734" width="21.42578125" style="897" customWidth="1"/>
    <col min="9735" max="9735" width="9.140625" style="897"/>
    <col min="9736" max="9736" width="12.28515625" style="897" customWidth="1"/>
    <col min="9737" max="9984" width="9.140625" style="897"/>
    <col min="9985" max="9985" width="4.42578125" style="897" customWidth="1"/>
    <col min="9986" max="9986" width="5.7109375" style="897" customWidth="1"/>
    <col min="9987" max="9987" width="8.42578125" style="897" customWidth="1"/>
    <col min="9988" max="9988" width="6.5703125" style="897" customWidth="1"/>
    <col min="9989" max="9989" width="47.42578125" style="897" customWidth="1"/>
    <col min="9990" max="9990" width="21.42578125" style="897" customWidth="1"/>
    <col min="9991" max="9991" width="9.140625" style="897"/>
    <col min="9992" max="9992" width="12.28515625" style="897" customWidth="1"/>
    <col min="9993" max="10240" width="9.140625" style="897"/>
    <col min="10241" max="10241" width="4.42578125" style="897" customWidth="1"/>
    <col min="10242" max="10242" width="5.7109375" style="897" customWidth="1"/>
    <col min="10243" max="10243" width="8.42578125" style="897" customWidth="1"/>
    <col min="10244" max="10244" width="6.5703125" style="897" customWidth="1"/>
    <col min="10245" max="10245" width="47.42578125" style="897" customWidth="1"/>
    <col min="10246" max="10246" width="21.42578125" style="897" customWidth="1"/>
    <col min="10247" max="10247" width="9.140625" style="897"/>
    <col min="10248" max="10248" width="12.28515625" style="897" customWidth="1"/>
    <col min="10249" max="10496" width="9.140625" style="897"/>
    <col min="10497" max="10497" width="4.42578125" style="897" customWidth="1"/>
    <col min="10498" max="10498" width="5.7109375" style="897" customWidth="1"/>
    <col min="10499" max="10499" width="8.42578125" style="897" customWidth="1"/>
    <col min="10500" max="10500" width="6.5703125" style="897" customWidth="1"/>
    <col min="10501" max="10501" width="47.42578125" style="897" customWidth="1"/>
    <col min="10502" max="10502" width="21.42578125" style="897" customWidth="1"/>
    <col min="10503" max="10503" width="9.140625" style="897"/>
    <col min="10504" max="10504" width="12.28515625" style="897" customWidth="1"/>
    <col min="10505" max="10752" width="9.140625" style="897"/>
    <col min="10753" max="10753" width="4.42578125" style="897" customWidth="1"/>
    <col min="10754" max="10754" width="5.7109375" style="897" customWidth="1"/>
    <col min="10755" max="10755" width="8.42578125" style="897" customWidth="1"/>
    <col min="10756" max="10756" width="6.5703125" style="897" customWidth="1"/>
    <col min="10757" max="10757" width="47.42578125" style="897" customWidth="1"/>
    <col min="10758" max="10758" width="21.42578125" style="897" customWidth="1"/>
    <col min="10759" max="10759" width="9.140625" style="897"/>
    <col min="10760" max="10760" width="12.28515625" style="897" customWidth="1"/>
    <col min="10761" max="11008" width="9.140625" style="897"/>
    <col min="11009" max="11009" width="4.42578125" style="897" customWidth="1"/>
    <col min="11010" max="11010" width="5.7109375" style="897" customWidth="1"/>
    <col min="11011" max="11011" width="8.42578125" style="897" customWidth="1"/>
    <col min="11012" max="11012" width="6.5703125" style="897" customWidth="1"/>
    <col min="11013" max="11013" width="47.42578125" style="897" customWidth="1"/>
    <col min="11014" max="11014" width="21.42578125" style="897" customWidth="1"/>
    <col min="11015" max="11015" width="9.140625" style="897"/>
    <col min="11016" max="11016" width="12.28515625" style="897" customWidth="1"/>
    <col min="11017" max="11264" width="9.140625" style="897"/>
    <col min="11265" max="11265" width="4.42578125" style="897" customWidth="1"/>
    <col min="11266" max="11266" width="5.7109375" style="897" customWidth="1"/>
    <col min="11267" max="11267" width="8.42578125" style="897" customWidth="1"/>
    <col min="11268" max="11268" width="6.5703125" style="897" customWidth="1"/>
    <col min="11269" max="11269" width="47.42578125" style="897" customWidth="1"/>
    <col min="11270" max="11270" width="21.42578125" style="897" customWidth="1"/>
    <col min="11271" max="11271" width="9.140625" style="897"/>
    <col min="11272" max="11272" width="12.28515625" style="897" customWidth="1"/>
    <col min="11273" max="11520" width="9.140625" style="897"/>
    <col min="11521" max="11521" width="4.42578125" style="897" customWidth="1"/>
    <col min="11522" max="11522" width="5.7109375" style="897" customWidth="1"/>
    <col min="11523" max="11523" width="8.42578125" style="897" customWidth="1"/>
    <col min="11524" max="11524" width="6.5703125" style="897" customWidth="1"/>
    <col min="11525" max="11525" width="47.42578125" style="897" customWidth="1"/>
    <col min="11526" max="11526" width="21.42578125" style="897" customWidth="1"/>
    <col min="11527" max="11527" width="9.140625" style="897"/>
    <col min="11528" max="11528" width="12.28515625" style="897" customWidth="1"/>
    <col min="11529" max="11776" width="9.140625" style="897"/>
    <col min="11777" max="11777" width="4.42578125" style="897" customWidth="1"/>
    <col min="11778" max="11778" width="5.7109375" style="897" customWidth="1"/>
    <col min="11779" max="11779" width="8.42578125" style="897" customWidth="1"/>
    <col min="11780" max="11780" width="6.5703125" style="897" customWidth="1"/>
    <col min="11781" max="11781" width="47.42578125" style="897" customWidth="1"/>
    <col min="11782" max="11782" width="21.42578125" style="897" customWidth="1"/>
    <col min="11783" max="11783" width="9.140625" style="897"/>
    <col min="11784" max="11784" width="12.28515625" style="897" customWidth="1"/>
    <col min="11785" max="12032" width="9.140625" style="897"/>
    <col min="12033" max="12033" width="4.42578125" style="897" customWidth="1"/>
    <col min="12034" max="12034" width="5.7109375" style="897" customWidth="1"/>
    <col min="12035" max="12035" width="8.42578125" style="897" customWidth="1"/>
    <col min="12036" max="12036" width="6.5703125" style="897" customWidth="1"/>
    <col min="12037" max="12037" width="47.42578125" style="897" customWidth="1"/>
    <col min="12038" max="12038" width="21.42578125" style="897" customWidth="1"/>
    <col min="12039" max="12039" width="9.140625" style="897"/>
    <col min="12040" max="12040" width="12.28515625" style="897" customWidth="1"/>
    <col min="12041" max="12288" width="9.140625" style="897"/>
    <col min="12289" max="12289" width="4.42578125" style="897" customWidth="1"/>
    <col min="12290" max="12290" width="5.7109375" style="897" customWidth="1"/>
    <col min="12291" max="12291" width="8.42578125" style="897" customWidth="1"/>
    <col min="12292" max="12292" width="6.5703125" style="897" customWidth="1"/>
    <col min="12293" max="12293" width="47.42578125" style="897" customWidth="1"/>
    <col min="12294" max="12294" width="21.42578125" style="897" customWidth="1"/>
    <col min="12295" max="12295" width="9.140625" style="897"/>
    <col min="12296" max="12296" width="12.28515625" style="897" customWidth="1"/>
    <col min="12297" max="12544" width="9.140625" style="897"/>
    <col min="12545" max="12545" width="4.42578125" style="897" customWidth="1"/>
    <col min="12546" max="12546" width="5.7109375" style="897" customWidth="1"/>
    <col min="12547" max="12547" width="8.42578125" style="897" customWidth="1"/>
    <col min="12548" max="12548" width="6.5703125" style="897" customWidth="1"/>
    <col min="12549" max="12549" width="47.42578125" style="897" customWidth="1"/>
    <col min="12550" max="12550" width="21.42578125" style="897" customWidth="1"/>
    <col min="12551" max="12551" width="9.140625" style="897"/>
    <col min="12552" max="12552" width="12.28515625" style="897" customWidth="1"/>
    <col min="12553" max="12800" width="9.140625" style="897"/>
    <col min="12801" max="12801" width="4.42578125" style="897" customWidth="1"/>
    <col min="12802" max="12802" width="5.7109375" style="897" customWidth="1"/>
    <col min="12803" max="12803" width="8.42578125" style="897" customWidth="1"/>
    <col min="12804" max="12804" width="6.5703125" style="897" customWidth="1"/>
    <col min="12805" max="12805" width="47.42578125" style="897" customWidth="1"/>
    <col min="12806" max="12806" width="21.42578125" style="897" customWidth="1"/>
    <col min="12807" max="12807" width="9.140625" style="897"/>
    <col min="12808" max="12808" width="12.28515625" style="897" customWidth="1"/>
    <col min="12809" max="13056" width="9.140625" style="897"/>
    <col min="13057" max="13057" width="4.42578125" style="897" customWidth="1"/>
    <col min="13058" max="13058" width="5.7109375" style="897" customWidth="1"/>
    <col min="13059" max="13059" width="8.42578125" style="897" customWidth="1"/>
    <col min="13060" max="13060" width="6.5703125" style="897" customWidth="1"/>
    <col min="13061" max="13061" width="47.42578125" style="897" customWidth="1"/>
    <col min="13062" max="13062" width="21.42578125" style="897" customWidth="1"/>
    <col min="13063" max="13063" width="9.140625" style="897"/>
    <col min="13064" max="13064" width="12.28515625" style="897" customWidth="1"/>
    <col min="13065" max="13312" width="9.140625" style="897"/>
    <col min="13313" max="13313" width="4.42578125" style="897" customWidth="1"/>
    <col min="13314" max="13314" width="5.7109375" style="897" customWidth="1"/>
    <col min="13315" max="13315" width="8.42578125" style="897" customWidth="1"/>
    <col min="13316" max="13316" width="6.5703125" style="897" customWidth="1"/>
    <col min="13317" max="13317" width="47.42578125" style="897" customWidth="1"/>
    <col min="13318" max="13318" width="21.42578125" style="897" customWidth="1"/>
    <col min="13319" max="13319" width="9.140625" style="897"/>
    <col min="13320" max="13320" width="12.28515625" style="897" customWidth="1"/>
    <col min="13321" max="13568" width="9.140625" style="897"/>
    <col min="13569" max="13569" width="4.42578125" style="897" customWidth="1"/>
    <col min="13570" max="13570" width="5.7109375" style="897" customWidth="1"/>
    <col min="13571" max="13571" width="8.42578125" style="897" customWidth="1"/>
    <col min="13572" max="13572" width="6.5703125" style="897" customWidth="1"/>
    <col min="13573" max="13573" width="47.42578125" style="897" customWidth="1"/>
    <col min="13574" max="13574" width="21.42578125" style="897" customWidth="1"/>
    <col min="13575" max="13575" width="9.140625" style="897"/>
    <col min="13576" max="13576" width="12.28515625" style="897" customWidth="1"/>
    <col min="13577" max="13824" width="9.140625" style="897"/>
    <col min="13825" max="13825" width="4.42578125" style="897" customWidth="1"/>
    <col min="13826" max="13826" width="5.7109375" style="897" customWidth="1"/>
    <col min="13827" max="13827" width="8.42578125" style="897" customWidth="1"/>
    <col min="13828" max="13828" width="6.5703125" style="897" customWidth="1"/>
    <col min="13829" max="13829" width="47.42578125" style="897" customWidth="1"/>
    <col min="13830" max="13830" width="21.42578125" style="897" customWidth="1"/>
    <col min="13831" max="13831" width="9.140625" style="897"/>
    <col min="13832" max="13832" width="12.28515625" style="897" customWidth="1"/>
    <col min="13833" max="14080" width="9.140625" style="897"/>
    <col min="14081" max="14081" width="4.42578125" style="897" customWidth="1"/>
    <col min="14082" max="14082" width="5.7109375" style="897" customWidth="1"/>
    <col min="14083" max="14083" width="8.42578125" style="897" customWidth="1"/>
    <col min="14084" max="14084" width="6.5703125" style="897" customWidth="1"/>
    <col min="14085" max="14085" width="47.42578125" style="897" customWidth="1"/>
    <col min="14086" max="14086" width="21.42578125" style="897" customWidth="1"/>
    <col min="14087" max="14087" width="9.140625" style="897"/>
    <col min="14088" max="14088" width="12.28515625" style="897" customWidth="1"/>
    <col min="14089" max="14336" width="9.140625" style="897"/>
    <col min="14337" max="14337" width="4.42578125" style="897" customWidth="1"/>
    <col min="14338" max="14338" width="5.7109375" style="897" customWidth="1"/>
    <col min="14339" max="14339" width="8.42578125" style="897" customWidth="1"/>
    <col min="14340" max="14340" width="6.5703125" style="897" customWidth="1"/>
    <col min="14341" max="14341" width="47.42578125" style="897" customWidth="1"/>
    <col min="14342" max="14342" width="21.42578125" style="897" customWidth="1"/>
    <col min="14343" max="14343" width="9.140625" style="897"/>
    <col min="14344" max="14344" width="12.28515625" style="897" customWidth="1"/>
    <col min="14345" max="14592" width="9.140625" style="897"/>
    <col min="14593" max="14593" width="4.42578125" style="897" customWidth="1"/>
    <col min="14594" max="14594" width="5.7109375" style="897" customWidth="1"/>
    <col min="14595" max="14595" width="8.42578125" style="897" customWidth="1"/>
    <col min="14596" max="14596" width="6.5703125" style="897" customWidth="1"/>
    <col min="14597" max="14597" width="47.42578125" style="897" customWidth="1"/>
    <col min="14598" max="14598" width="21.42578125" style="897" customWidth="1"/>
    <col min="14599" max="14599" width="9.140625" style="897"/>
    <col min="14600" max="14600" width="12.28515625" style="897" customWidth="1"/>
    <col min="14601" max="14848" width="9.140625" style="897"/>
    <col min="14849" max="14849" width="4.42578125" style="897" customWidth="1"/>
    <col min="14850" max="14850" width="5.7109375" style="897" customWidth="1"/>
    <col min="14851" max="14851" width="8.42578125" style="897" customWidth="1"/>
    <col min="14852" max="14852" width="6.5703125" style="897" customWidth="1"/>
    <col min="14853" max="14853" width="47.42578125" style="897" customWidth="1"/>
    <col min="14854" max="14854" width="21.42578125" style="897" customWidth="1"/>
    <col min="14855" max="14855" width="9.140625" style="897"/>
    <col min="14856" max="14856" width="12.28515625" style="897" customWidth="1"/>
    <col min="14857" max="15104" width="9.140625" style="897"/>
    <col min="15105" max="15105" width="4.42578125" style="897" customWidth="1"/>
    <col min="15106" max="15106" width="5.7109375" style="897" customWidth="1"/>
    <col min="15107" max="15107" width="8.42578125" style="897" customWidth="1"/>
    <col min="15108" max="15108" width="6.5703125" style="897" customWidth="1"/>
    <col min="15109" max="15109" width="47.42578125" style="897" customWidth="1"/>
    <col min="15110" max="15110" width="21.42578125" style="897" customWidth="1"/>
    <col min="15111" max="15111" width="9.140625" style="897"/>
    <col min="15112" max="15112" width="12.28515625" style="897" customWidth="1"/>
    <col min="15113" max="15360" width="9.140625" style="897"/>
    <col min="15361" max="15361" width="4.42578125" style="897" customWidth="1"/>
    <col min="15362" max="15362" width="5.7109375" style="897" customWidth="1"/>
    <col min="15363" max="15363" width="8.42578125" style="897" customWidth="1"/>
    <col min="15364" max="15364" width="6.5703125" style="897" customWidth="1"/>
    <col min="15365" max="15365" width="47.42578125" style="897" customWidth="1"/>
    <col min="15366" max="15366" width="21.42578125" style="897" customWidth="1"/>
    <col min="15367" max="15367" width="9.140625" style="897"/>
    <col min="15368" max="15368" width="12.28515625" style="897" customWidth="1"/>
    <col min="15369" max="15616" width="9.140625" style="897"/>
    <col min="15617" max="15617" width="4.42578125" style="897" customWidth="1"/>
    <col min="15618" max="15618" width="5.7109375" style="897" customWidth="1"/>
    <col min="15619" max="15619" width="8.42578125" style="897" customWidth="1"/>
    <col min="15620" max="15620" width="6.5703125" style="897" customWidth="1"/>
    <col min="15621" max="15621" width="47.42578125" style="897" customWidth="1"/>
    <col min="15622" max="15622" width="21.42578125" style="897" customWidth="1"/>
    <col min="15623" max="15623" width="9.140625" style="897"/>
    <col min="15624" max="15624" width="12.28515625" style="897" customWidth="1"/>
    <col min="15625" max="15872" width="9.140625" style="897"/>
    <col min="15873" max="15873" width="4.42578125" style="897" customWidth="1"/>
    <col min="15874" max="15874" width="5.7109375" style="897" customWidth="1"/>
    <col min="15875" max="15875" width="8.42578125" style="897" customWidth="1"/>
    <col min="15876" max="15876" width="6.5703125" style="897" customWidth="1"/>
    <col min="15877" max="15877" width="47.42578125" style="897" customWidth="1"/>
    <col min="15878" max="15878" width="21.42578125" style="897" customWidth="1"/>
    <col min="15879" max="15879" width="9.140625" style="897"/>
    <col min="15880" max="15880" width="12.28515625" style="897" customWidth="1"/>
    <col min="15881" max="16128" width="9.140625" style="897"/>
    <col min="16129" max="16129" width="4.42578125" style="897" customWidth="1"/>
    <col min="16130" max="16130" width="5.7109375" style="897" customWidth="1"/>
    <col min="16131" max="16131" width="8.42578125" style="897" customWidth="1"/>
    <col min="16132" max="16132" width="6.5703125" style="897" customWidth="1"/>
    <col min="16133" max="16133" width="47.42578125" style="897" customWidth="1"/>
    <col min="16134" max="16134" width="21.42578125" style="897" customWidth="1"/>
    <col min="16135" max="16135" width="9.140625" style="897"/>
    <col min="16136" max="16136" width="12.28515625" style="897" customWidth="1"/>
    <col min="16137" max="16384" width="9.140625" style="897"/>
  </cols>
  <sheetData>
    <row r="1" spans="1:8" ht="18.75" customHeight="1" x14ac:dyDescent="0.2">
      <c r="E1" s="899"/>
      <c r="F1" s="900" t="s">
        <v>1193</v>
      </c>
    </row>
    <row r="2" spans="1:8" x14ac:dyDescent="0.2">
      <c r="E2" s="899"/>
      <c r="F2" s="900" t="s">
        <v>80</v>
      </c>
    </row>
    <row r="3" spans="1:8" x14ac:dyDescent="0.2">
      <c r="E3" s="899"/>
      <c r="F3" s="900" t="s">
        <v>81</v>
      </c>
    </row>
    <row r="4" spans="1:8" x14ac:dyDescent="0.2">
      <c r="E4" s="899"/>
      <c r="F4" s="900" t="s">
        <v>82</v>
      </c>
    </row>
    <row r="5" spans="1:8" x14ac:dyDescent="0.2">
      <c r="E5" s="901"/>
    </row>
    <row r="6" spans="1:8" ht="22.5" customHeight="1" x14ac:dyDescent="0.2">
      <c r="A6" s="902" t="s">
        <v>1170</v>
      </c>
      <c r="B6" s="902"/>
      <c r="C6" s="902"/>
      <c r="D6" s="903"/>
      <c r="E6" s="902"/>
      <c r="F6" s="902"/>
    </row>
    <row r="7" spans="1:8" ht="15.75" customHeight="1" x14ac:dyDescent="0.2">
      <c r="A7" s="902" t="s">
        <v>1194</v>
      </c>
      <c r="B7" s="902"/>
      <c r="C7" s="902"/>
      <c r="D7" s="903"/>
      <c r="E7" s="902"/>
      <c r="F7" s="902"/>
    </row>
    <row r="8" spans="1:8" ht="11.25" customHeight="1" x14ac:dyDescent="0.2">
      <c r="F8" s="904"/>
    </row>
    <row r="9" spans="1:8" ht="19.5" customHeight="1" x14ac:dyDescent="0.2">
      <c r="F9" s="905" t="s">
        <v>2</v>
      </c>
    </row>
    <row r="10" spans="1:8" ht="20.25" customHeight="1" x14ac:dyDescent="0.2">
      <c r="A10" s="906" t="s">
        <v>950</v>
      </c>
      <c r="B10" s="906" t="s">
        <v>696</v>
      </c>
      <c r="C10" s="906" t="s">
        <v>1132</v>
      </c>
      <c r="D10" s="907" t="s">
        <v>1172</v>
      </c>
      <c r="E10" s="908" t="s">
        <v>1173</v>
      </c>
      <c r="F10" s="906" t="s">
        <v>1174</v>
      </c>
    </row>
    <row r="11" spans="1:8" s="912" customFormat="1" ht="10.5" customHeight="1" x14ac:dyDescent="0.15">
      <c r="A11" s="909">
        <v>1</v>
      </c>
      <c r="B11" s="909">
        <v>2</v>
      </c>
      <c r="C11" s="909">
        <v>3</v>
      </c>
      <c r="D11" s="910">
        <v>4</v>
      </c>
      <c r="E11" s="911">
        <v>5</v>
      </c>
      <c r="F11" s="909">
        <v>6</v>
      </c>
    </row>
    <row r="12" spans="1:8" ht="17.25" customHeight="1" x14ac:dyDescent="0.2">
      <c r="A12" s="913" t="s">
        <v>1175</v>
      </c>
      <c r="B12" s="914"/>
      <c r="C12" s="914"/>
      <c r="D12" s="915"/>
      <c r="E12" s="914"/>
      <c r="F12" s="916"/>
    </row>
    <row r="13" spans="1:8" ht="18" customHeight="1" x14ac:dyDescent="0.2">
      <c r="A13" s="917">
        <v>1</v>
      </c>
      <c r="B13" s="918">
        <v>630</v>
      </c>
      <c r="C13" s="918">
        <v>63003</v>
      </c>
      <c r="D13" s="907">
        <v>2360</v>
      </c>
      <c r="E13" s="859" t="s">
        <v>580</v>
      </c>
      <c r="F13" s="860">
        <f>35000</f>
        <v>35000</v>
      </c>
    </row>
    <row r="14" spans="1:8" ht="52.5" customHeight="1" x14ac:dyDescent="0.2">
      <c r="A14" s="917">
        <v>2</v>
      </c>
      <c r="B14" s="919">
        <v>700</v>
      </c>
      <c r="C14" s="919">
        <v>70007</v>
      </c>
      <c r="D14" s="920" t="s">
        <v>1195</v>
      </c>
      <c r="E14" s="921" t="s">
        <v>1196</v>
      </c>
      <c r="F14" s="922">
        <f>1364685.46+71825.55+55771.84+1059665.04</f>
        <v>2551947.89</v>
      </c>
    </row>
    <row r="15" spans="1:8" ht="27" customHeight="1" x14ac:dyDescent="0.2">
      <c r="A15" s="919">
        <v>3</v>
      </c>
      <c r="B15" s="919">
        <v>700</v>
      </c>
      <c r="C15" s="919">
        <v>70095</v>
      </c>
      <c r="D15" s="923">
        <v>6230</v>
      </c>
      <c r="E15" s="924" t="s">
        <v>1197</v>
      </c>
      <c r="F15" s="925">
        <f>1500000</f>
        <v>1500000</v>
      </c>
      <c r="G15" s="926"/>
    </row>
    <row r="16" spans="1:8" ht="26.25" customHeight="1" x14ac:dyDescent="0.2">
      <c r="A16" s="919">
        <v>4</v>
      </c>
      <c r="B16" s="919">
        <v>750</v>
      </c>
      <c r="C16" s="919">
        <v>75095</v>
      </c>
      <c r="D16" s="907">
        <v>2360</v>
      </c>
      <c r="E16" s="927" t="s">
        <v>1198</v>
      </c>
      <c r="F16" s="925">
        <f>200000</f>
        <v>200000</v>
      </c>
      <c r="H16" s="928"/>
    </row>
    <row r="17" spans="1:8" ht="15.75" customHeight="1" x14ac:dyDescent="0.2">
      <c r="A17" s="919">
        <v>5</v>
      </c>
      <c r="B17" s="919">
        <v>755</v>
      </c>
      <c r="C17" s="919">
        <v>75515</v>
      </c>
      <c r="D17" s="907">
        <v>2360</v>
      </c>
      <c r="E17" s="929" t="s">
        <v>1199</v>
      </c>
      <c r="F17" s="930">
        <f>146896.8</f>
        <v>146896.79999999999</v>
      </c>
      <c r="H17" s="928"/>
    </row>
    <row r="18" spans="1:8" ht="24" customHeight="1" x14ac:dyDescent="0.2">
      <c r="A18" s="919">
        <v>6</v>
      </c>
      <c r="B18" s="919">
        <v>801</v>
      </c>
      <c r="C18" s="919">
        <v>80195</v>
      </c>
      <c r="D18" s="931" t="s">
        <v>1200</v>
      </c>
      <c r="E18" s="921" t="s">
        <v>1201</v>
      </c>
      <c r="F18" s="922">
        <f>134160.56+7883.44</f>
        <v>142044</v>
      </c>
      <c r="H18" s="928"/>
    </row>
    <row r="19" spans="1:8" ht="37.5" customHeight="1" x14ac:dyDescent="0.2">
      <c r="A19" s="919">
        <v>7</v>
      </c>
      <c r="B19" s="919">
        <v>801</v>
      </c>
      <c r="C19" s="919">
        <v>80195</v>
      </c>
      <c r="D19" s="931" t="s">
        <v>1200</v>
      </c>
      <c r="E19" s="921" t="s">
        <v>1202</v>
      </c>
      <c r="F19" s="922">
        <f>269649.24+15844.92</f>
        <v>285494.15999999997</v>
      </c>
      <c r="H19" s="928"/>
    </row>
    <row r="20" spans="1:8" ht="26.25" customHeight="1" x14ac:dyDescent="0.2">
      <c r="A20" s="919">
        <v>8</v>
      </c>
      <c r="B20" s="919">
        <v>801</v>
      </c>
      <c r="C20" s="919">
        <v>80195</v>
      </c>
      <c r="D20" s="931" t="s">
        <v>1200</v>
      </c>
      <c r="E20" s="921" t="s">
        <v>1203</v>
      </c>
      <c r="F20" s="922">
        <f>416614.15+24480.77</f>
        <v>441094.92000000004</v>
      </c>
      <c r="H20" s="928"/>
    </row>
    <row r="21" spans="1:8" ht="15" customHeight="1" x14ac:dyDescent="0.2">
      <c r="A21" s="919">
        <v>9</v>
      </c>
      <c r="B21" s="919">
        <v>851</v>
      </c>
      <c r="C21" s="919">
        <v>85153</v>
      </c>
      <c r="D21" s="932">
        <v>2360</v>
      </c>
      <c r="E21" s="933" t="s">
        <v>614</v>
      </c>
      <c r="F21" s="922">
        <f>48765</f>
        <v>48765</v>
      </c>
      <c r="H21" s="928"/>
    </row>
    <row r="22" spans="1:8" ht="36" customHeight="1" x14ac:dyDescent="0.2">
      <c r="A22" s="919">
        <v>10</v>
      </c>
      <c r="B22" s="919">
        <v>851</v>
      </c>
      <c r="C22" s="919">
        <v>85154</v>
      </c>
      <c r="D22" s="907">
        <v>2360</v>
      </c>
      <c r="E22" s="927" t="s">
        <v>1204</v>
      </c>
      <c r="F22" s="925">
        <f>615000</f>
        <v>615000</v>
      </c>
    </row>
    <row r="23" spans="1:8" ht="24.75" customHeight="1" x14ac:dyDescent="0.2">
      <c r="A23" s="934">
        <v>11</v>
      </c>
      <c r="B23" s="934">
        <v>851</v>
      </c>
      <c r="C23" s="935">
        <v>85195</v>
      </c>
      <c r="D23" s="936">
        <v>2360</v>
      </c>
      <c r="E23" s="937" t="s">
        <v>1205</v>
      </c>
      <c r="F23" s="925">
        <f>122500</f>
        <v>122500</v>
      </c>
    </row>
    <row r="24" spans="1:8" ht="38.25" customHeight="1" x14ac:dyDescent="0.2">
      <c r="A24" s="934">
        <v>12</v>
      </c>
      <c r="B24" s="917">
        <v>852</v>
      </c>
      <c r="C24" s="917">
        <v>85219</v>
      </c>
      <c r="D24" s="938">
        <v>2830</v>
      </c>
      <c r="E24" s="939" t="s">
        <v>1206</v>
      </c>
      <c r="F24" s="925">
        <f>171894</f>
        <v>171894</v>
      </c>
    </row>
    <row r="25" spans="1:8" ht="24.75" customHeight="1" x14ac:dyDescent="0.2">
      <c r="A25" s="934">
        <v>13</v>
      </c>
      <c r="B25" s="940">
        <v>852</v>
      </c>
      <c r="C25" s="941">
        <v>85228</v>
      </c>
      <c r="D25" s="936">
        <v>2360</v>
      </c>
      <c r="E25" s="942" t="s">
        <v>1207</v>
      </c>
      <c r="F25" s="925">
        <f>F26+F27</f>
        <v>13659654.52</v>
      </c>
    </row>
    <row r="26" spans="1:8" s="900" customFormat="1" ht="13.5" customHeight="1" x14ac:dyDescent="0.2">
      <c r="A26" s="943" t="s">
        <v>1208</v>
      </c>
      <c r="B26" s="944"/>
      <c r="C26" s="945"/>
      <c r="D26" s="946"/>
      <c r="E26" s="947" t="s">
        <v>1209</v>
      </c>
      <c r="F26" s="948">
        <f>8905485.52</f>
        <v>8905485.5199999996</v>
      </c>
    </row>
    <row r="27" spans="1:8" s="900" customFormat="1" ht="13.5" customHeight="1" x14ac:dyDescent="0.2">
      <c r="A27" s="943" t="s">
        <v>1210</v>
      </c>
      <c r="B27" s="944"/>
      <c r="C27" s="945"/>
      <c r="D27" s="946"/>
      <c r="E27" s="947" t="s">
        <v>1211</v>
      </c>
      <c r="F27" s="948">
        <f>4754169</f>
        <v>4754169</v>
      </c>
    </row>
    <row r="28" spans="1:8" ht="25.5" customHeight="1" x14ac:dyDescent="0.2">
      <c r="A28" s="919">
        <v>14</v>
      </c>
      <c r="B28" s="919">
        <v>852</v>
      </c>
      <c r="C28" s="919">
        <v>85295</v>
      </c>
      <c r="D28" s="907">
        <v>2360</v>
      </c>
      <c r="E28" s="927" t="s">
        <v>1212</v>
      </c>
      <c r="F28" s="925">
        <f>2691864</f>
        <v>2691864</v>
      </c>
    </row>
    <row r="29" spans="1:8" ht="38.25" customHeight="1" x14ac:dyDescent="0.2">
      <c r="A29" s="919">
        <v>15</v>
      </c>
      <c r="B29" s="919">
        <v>853</v>
      </c>
      <c r="C29" s="919">
        <v>85395</v>
      </c>
      <c r="D29" s="907">
        <v>2360</v>
      </c>
      <c r="E29" s="927" t="s">
        <v>1213</v>
      </c>
      <c r="F29" s="925">
        <f>19000</f>
        <v>19000</v>
      </c>
    </row>
    <row r="30" spans="1:8" ht="24.75" customHeight="1" x14ac:dyDescent="0.2">
      <c r="A30" s="919">
        <v>16</v>
      </c>
      <c r="B30" s="919">
        <v>855</v>
      </c>
      <c r="C30" s="919">
        <v>85510</v>
      </c>
      <c r="D30" s="949" t="s">
        <v>1214</v>
      </c>
      <c r="E30" s="929" t="s">
        <v>672</v>
      </c>
      <c r="F30" s="925">
        <f>2830580+188620</f>
        <v>3019200</v>
      </c>
    </row>
    <row r="31" spans="1:8" ht="37.5" customHeight="1" x14ac:dyDescent="0.2">
      <c r="A31" s="950">
        <v>17</v>
      </c>
      <c r="B31" s="919">
        <v>900</v>
      </c>
      <c r="C31" s="919">
        <v>90005</v>
      </c>
      <c r="D31" s="907">
        <v>2360</v>
      </c>
      <c r="E31" s="951" t="s">
        <v>1215</v>
      </c>
      <c r="F31" s="952">
        <v>100000</v>
      </c>
      <c r="G31" s="953"/>
    </row>
    <row r="32" spans="1:8" ht="28.5" customHeight="1" x14ac:dyDescent="0.2">
      <c r="A32" s="950">
        <v>18</v>
      </c>
      <c r="B32" s="919">
        <v>900</v>
      </c>
      <c r="C32" s="919">
        <v>90095</v>
      </c>
      <c r="D32" s="931" t="s">
        <v>1216</v>
      </c>
      <c r="E32" s="921" t="s">
        <v>1217</v>
      </c>
      <c r="F32" s="922">
        <f>14643+82977</f>
        <v>97620</v>
      </c>
      <c r="G32" s="953"/>
    </row>
    <row r="33" spans="1:8" s="900" customFormat="1" ht="15" customHeight="1" x14ac:dyDescent="0.2">
      <c r="A33" s="919">
        <v>19</v>
      </c>
      <c r="B33" s="919">
        <v>921</v>
      </c>
      <c r="C33" s="919">
        <v>92120</v>
      </c>
      <c r="D33" s="907">
        <v>2720</v>
      </c>
      <c r="E33" s="954" t="s">
        <v>645</v>
      </c>
      <c r="F33" s="952">
        <f>750000</f>
        <v>750000</v>
      </c>
    </row>
    <row r="34" spans="1:8" ht="36.75" customHeight="1" x14ac:dyDescent="0.2">
      <c r="A34" s="919">
        <v>20</v>
      </c>
      <c r="B34" s="919">
        <v>921</v>
      </c>
      <c r="C34" s="919">
        <v>92195</v>
      </c>
      <c r="D34" s="955">
        <v>2360</v>
      </c>
      <c r="E34" s="927" t="s">
        <v>1218</v>
      </c>
      <c r="F34" s="952">
        <v>950000</v>
      </c>
    </row>
    <row r="35" spans="1:8" ht="15.6" customHeight="1" x14ac:dyDescent="0.2">
      <c r="A35" s="956">
        <v>21</v>
      </c>
      <c r="B35" s="956">
        <v>926</v>
      </c>
      <c r="C35" s="956">
        <v>92605</v>
      </c>
      <c r="D35" s="949">
        <v>2360</v>
      </c>
      <c r="E35" s="929" t="s">
        <v>1219</v>
      </c>
      <c r="F35" s="925">
        <f>5000000</f>
        <v>5000000</v>
      </c>
    </row>
    <row r="36" spans="1:8" s="961" customFormat="1" ht="18" customHeight="1" x14ac:dyDescent="0.25">
      <c r="A36" s="957"/>
      <c r="B36" s="958"/>
      <c r="C36" s="958"/>
      <c r="D36" s="959"/>
      <c r="E36" s="958" t="s">
        <v>1220</v>
      </c>
      <c r="F36" s="960">
        <f>SUM(F13,F14,F15,F16,F17,F18,F19,F20,F21,F22,F23,F24,F25,F28,F29,F30,F31,F32,F33,F34,F35)</f>
        <v>32547975.289999999</v>
      </c>
      <c r="H36" s="962"/>
    </row>
    <row r="37" spans="1:8" ht="17.25" customHeight="1" x14ac:dyDescent="0.2">
      <c r="A37" s="913" t="s">
        <v>1188</v>
      </c>
      <c r="B37" s="914"/>
      <c r="C37" s="914"/>
      <c r="D37" s="915"/>
      <c r="E37" s="914"/>
      <c r="F37" s="916"/>
    </row>
    <row r="38" spans="1:8" ht="17.25" customHeight="1" x14ac:dyDescent="0.2">
      <c r="A38" s="906" t="s">
        <v>950</v>
      </c>
      <c r="B38" s="906" t="s">
        <v>696</v>
      </c>
      <c r="C38" s="906" t="s">
        <v>1132</v>
      </c>
      <c r="D38" s="963"/>
      <c r="E38" s="908" t="s">
        <v>1221</v>
      </c>
      <c r="F38" s="964" t="s">
        <v>1174</v>
      </c>
    </row>
    <row r="39" spans="1:8" ht="24" customHeight="1" x14ac:dyDescent="0.2">
      <c r="A39" s="919">
        <v>1</v>
      </c>
      <c r="B39" s="919">
        <v>801</v>
      </c>
      <c r="C39" s="919">
        <v>80101</v>
      </c>
      <c r="D39" s="955" t="s">
        <v>1222</v>
      </c>
      <c r="E39" s="954" t="s">
        <v>313</v>
      </c>
      <c r="F39" s="925">
        <f>3611632.2+9720952.16</f>
        <v>13332584.359999999</v>
      </c>
    </row>
    <row r="40" spans="1:8" s="900" customFormat="1" ht="13.5" customHeight="1" x14ac:dyDescent="0.2">
      <c r="A40" s="965"/>
      <c r="B40" s="966"/>
      <c r="C40" s="967"/>
      <c r="D40" s="968"/>
      <c r="E40" s="969" t="s">
        <v>1223</v>
      </c>
      <c r="F40" s="970"/>
    </row>
    <row r="41" spans="1:8" s="900" customFormat="1" ht="13.5" customHeight="1" x14ac:dyDescent="0.2">
      <c r="A41" s="971"/>
      <c r="B41" s="605"/>
      <c r="C41" s="972"/>
      <c r="D41" s="973"/>
      <c r="E41" s="974" t="s">
        <v>1224</v>
      </c>
      <c r="F41" s="975"/>
      <c r="G41" s="976"/>
    </row>
    <row r="42" spans="1:8" s="900" customFormat="1" ht="23.25" customHeight="1" x14ac:dyDescent="0.2">
      <c r="A42" s="971"/>
      <c r="B42" s="605"/>
      <c r="C42" s="972"/>
      <c r="D42" s="977"/>
      <c r="E42" s="978" t="s">
        <v>1225</v>
      </c>
      <c r="F42" s="979"/>
    </row>
    <row r="43" spans="1:8" s="900" customFormat="1" ht="25.5" customHeight="1" x14ac:dyDescent="0.2">
      <c r="A43" s="971"/>
      <c r="B43" s="605"/>
      <c r="C43" s="972"/>
      <c r="D43" s="977"/>
      <c r="E43" s="980" t="s">
        <v>1226</v>
      </c>
      <c r="F43" s="975"/>
    </row>
    <row r="44" spans="1:8" s="900" customFormat="1" ht="24" customHeight="1" x14ac:dyDescent="0.2">
      <c r="A44" s="981"/>
      <c r="B44" s="982"/>
      <c r="C44" s="983"/>
      <c r="D44" s="984"/>
      <c r="E44" s="985" t="s">
        <v>1227</v>
      </c>
      <c r="F44" s="986"/>
    </row>
    <row r="45" spans="1:8" ht="13.9" customHeight="1" x14ac:dyDescent="0.2">
      <c r="A45" s="987">
        <v>2</v>
      </c>
      <c r="B45" s="987">
        <v>801</v>
      </c>
      <c r="C45" s="987">
        <v>80103</v>
      </c>
      <c r="D45" s="988">
        <v>2540</v>
      </c>
      <c r="E45" s="989" t="s">
        <v>599</v>
      </c>
      <c r="F45" s="990">
        <f>198379.2</f>
        <v>198379.2</v>
      </c>
    </row>
    <row r="46" spans="1:8" s="900" customFormat="1" ht="26.25" customHeight="1" x14ac:dyDescent="0.2">
      <c r="A46" s="971"/>
      <c r="B46" s="605"/>
      <c r="C46" s="972"/>
      <c r="D46" s="977"/>
      <c r="E46" s="991" t="s">
        <v>1225</v>
      </c>
      <c r="F46" s="970"/>
    </row>
    <row r="47" spans="1:8" ht="24" customHeight="1" x14ac:dyDescent="0.2">
      <c r="A47" s="919">
        <v>3</v>
      </c>
      <c r="B47" s="919">
        <v>801</v>
      </c>
      <c r="C47" s="919">
        <v>80104</v>
      </c>
      <c r="D47" s="955" t="s">
        <v>1222</v>
      </c>
      <c r="E47" s="954" t="s">
        <v>315</v>
      </c>
      <c r="F47" s="925">
        <f>9183881.2+3891938.8</f>
        <v>13075820</v>
      </c>
    </row>
    <row r="48" spans="1:8" s="900" customFormat="1" ht="13.5" customHeight="1" x14ac:dyDescent="0.2">
      <c r="A48" s="965"/>
      <c r="B48" s="966"/>
      <c r="C48" s="967"/>
      <c r="D48" s="968"/>
      <c r="E48" s="969" t="s">
        <v>1228</v>
      </c>
      <c r="F48" s="970"/>
    </row>
    <row r="49" spans="1:6" s="900" customFormat="1" ht="13.5" customHeight="1" x14ac:dyDescent="0.2">
      <c r="A49" s="971"/>
      <c r="B49" s="605"/>
      <c r="C49" s="972"/>
      <c r="D49" s="977"/>
      <c r="E49" s="992" t="s">
        <v>1229</v>
      </c>
      <c r="F49" s="975"/>
    </row>
    <row r="50" spans="1:6" s="900" customFormat="1" ht="13.5" customHeight="1" x14ac:dyDescent="0.2">
      <c r="A50" s="971"/>
      <c r="B50" s="605"/>
      <c r="C50" s="972"/>
      <c r="D50" s="977"/>
      <c r="E50" s="992" t="s">
        <v>1230</v>
      </c>
      <c r="F50" s="975"/>
    </row>
    <row r="51" spans="1:6" s="900" customFormat="1" ht="13.5" customHeight="1" x14ac:dyDescent="0.2">
      <c r="A51" s="971"/>
      <c r="B51" s="605"/>
      <c r="C51" s="972"/>
      <c r="D51" s="977"/>
      <c r="E51" s="992" t="s">
        <v>1231</v>
      </c>
      <c r="F51" s="975"/>
    </row>
    <row r="52" spans="1:6" s="900" customFormat="1" ht="13.5" customHeight="1" x14ac:dyDescent="0.2">
      <c r="A52" s="971"/>
      <c r="B52" s="605"/>
      <c r="C52" s="972"/>
      <c r="D52" s="977"/>
      <c r="E52" s="980" t="s">
        <v>1232</v>
      </c>
      <c r="F52" s="975"/>
    </row>
    <row r="53" spans="1:6" s="900" customFormat="1" ht="13.5" customHeight="1" x14ac:dyDescent="0.2">
      <c r="A53" s="971"/>
      <c r="B53" s="605"/>
      <c r="C53" s="972"/>
      <c r="D53" s="977"/>
      <c r="E53" s="980" t="s">
        <v>1233</v>
      </c>
      <c r="F53" s="975"/>
    </row>
    <row r="54" spans="1:6" s="900" customFormat="1" ht="13.5" customHeight="1" x14ac:dyDescent="0.2">
      <c r="A54" s="971"/>
      <c r="B54" s="605"/>
      <c r="C54" s="972"/>
      <c r="D54" s="977"/>
      <c r="E54" s="992" t="s">
        <v>1234</v>
      </c>
      <c r="F54" s="975"/>
    </row>
    <row r="55" spans="1:6" s="900" customFormat="1" ht="13.5" customHeight="1" x14ac:dyDescent="0.2">
      <c r="A55" s="971"/>
      <c r="B55" s="605"/>
      <c r="C55" s="972"/>
      <c r="D55" s="977"/>
      <c r="E55" s="992" t="s">
        <v>1235</v>
      </c>
      <c r="F55" s="975"/>
    </row>
    <row r="56" spans="1:6" s="900" customFormat="1" ht="13.5" customHeight="1" x14ac:dyDescent="0.2">
      <c r="A56" s="971"/>
      <c r="B56" s="605"/>
      <c r="C56" s="972"/>
      <c r="D56" s="977"/>
      <c r="E56" s="980" t="s">
        <v>1236</v>
      </c>
      <c r="F56" s="975"/>
    </row>
    <row r="57" spans="1:6" s="900" customFormat="1" ht="13.5" customHeight="1" x14ac:dyDescent="0.2">
      <c r="A57" s="971"/>
      <c r="B57" s="605"/>
      <c r="C57" s="972"/>
      <c r="D57" s="977"/>
      <c r="E57" s="993" t="s">
        <v>1237</v>
      </c>
      <c r="F57" s="975"/>
    </row>
    <row r="58" spans="1:6" s="900" customFormat="1" ht="13.5" customHeight="1" x14ac:dyDescent="0.2">
      <c r="A58" s="971"/>
      <c r="B58" s="605"/>
      <c r="C58" s="972"/>
      <c r="D58" s="977"/>
      <c r="E58" s="980" t="s">
        <v>1238</v>
      </c>
      <c r="F58" s="975"/>
    </row>
    <row r="59" spans="1:6" s="900" customFormat="1" ht="13.5" customHeight="1" x14ac:dyDescent="0.2">
      <c r="A59" s="971"/>
      <c r="B59" s="605"/>
      <c r="C59" s="972"/>
      <c r="D59" s="977"/>
      <c r="E59" s="993" t="s">
        <v>1239</v>
      </c>
      <c r="F59" s="975"/>
    </row>
    <row r="60" spans="1:6" s="900" customFormat="1" ht="13.5" customHeight="1" x14ac:dyDescent="0.2">
      <c r="A60" s="971"/>
      <c r="B60" s="605"/>
      <c r="C60" s="972"/>
      <c r="D60" s="977"/>
      <c r="E60" s="993" t="s">
        <v>1240</v>
      </c>
      <c r="F60" s="975"/>
    </row>
    <row r="61" spans="1:6" s="900" customFormat="1" ht="13.5" customHeight="1" x14ac:dyDescent="0.2">
      <c r="A61" s="981"/>
      <c r="B61" s="982"/>
      <c r="C61" s="983"/>
      <c r="D61" s="984"/>
      <c r="E61" s="994" t="s">
        <v>1241</v>
      </c>
      <c r="F61" s="986"/>
    </row>
    <row r="62" spans="1:6" ht="22.5" customHeight="1" x14ac:dyDescent="0.2">
      <c r="A62" s="956">
        <v>4</v>
      </c>
      <c r="B62" s="956">
        <v>801</v>
      </c>
      <c r="C62" s="956">
        <v>80106</v>
      </c>
      <c r="D62" s="963">
        <v>2540</v>
      </c>
      <c r="E62" s="927" t="s">
        <v>1242</v>
      </c>
      <c r="F62" s="925">
        <f>158564</f>
        <v>158564</v>
      </c>
    </row>
    <row r="63" spans="1:6" s="900" customFormat="1" ht="13.5" customHeight="1" x14ac:dyDescent="0.2">
      <c r="A63" s="971"/>
      <c r="B63" s="605"/>
      <c r="C63" s="972"/>
      <c r="D63" s="995"/>
      <c r="E63" s="996" t="s">
        <v>1243</v>
      </c>
      <c r="F63" s="997"/>
    </row>
    <row r="64" spans="1:6" ht="13.5" customHeight="1" x14ac:dyDescent="0.2">
      <c r="A64" s="987">
        <v>5</v>
      </c>
      <c r="B64" s="987">
        <v>801</v>
      </c>
      <c r="C64" s="987">
        <v>80115</v>
      </c>
      <c r="D64" s="998">
        <v>2540</v>
      </c>
      <c r="E64" s="999" t="s">
        <v>447</v>
      </c>
      <c r="F64" s="990">
        <f>3756329.44</f>
        <v>3756329.44</v>
      </c>
    </row>
    <row r="65" spans="1:6" s="900" customFormat="1" ht="24" customHeight="1" x14ac:dyDescent="0.2">
      <c r="A65" s="1000"/>
      <c r="B65" s="1001"/>
      <c r="C65" s="1002"/>
      <c r="D65" s="1003"/>
      <c r="E65" s="1004" t="s">
        <v>1244</v>
      </c>
      <c r="F65" s="1005"/>
    </row>
    <row r="66" spans="1:6" ht="13.5" customHeight="1" x14ac:dyDescent="0.2">
      <c r="A66" s="987">
        <v>6</v>
      </c>
      <c r="B66" s="987">
        <v>801</v>
      </c>
      <c r="C66" s="987">
        <v>80116</v>
      </c>
      <c r="D66" s="1006">
        <v>2540</v>
      </c>
      <c r="E66" s="999" t="s">
        <v>651</v>
      </c>
      <c r="F66" s="990">
        <f>9078519.3</f>
        <v>9078519.3000000007</v>
      </c>
    </row>
    <row r="67" spans="1:6" s="900" customFormat="1" ht="13.5" customHeight="1" x14ac:dyDescent="0.2">
      <c r="A67" s="965"/>
      <c r="B67" s="966"/>
      <c r="C67" s="967"/>
      <c r="D67" s="968"/>
      <c r="E67" s="1007" t="s">
        <v>1245</v>
      </c>
      <c r="F67" s="970"/>
    </row>
    <row r="68" spans="1:6" s="900" customFormat="1" ht="25.5" customHeight="1" x14ac:dyDescent="0.2">
      <c r="A68" s="971"/>
      <c r="B68" s="605"/>
      <c r="C68" s="972"/>
      <c r="D68" s="977"/>
      <c r="E68" s="974" t="s">
        <v>1246</v>
      </c>
      <c r="F68" s="975"/>
    </row>
    <row r="69" spans="1:6" s="900" customFormat="1" ht="13.5" customHeight="1" x14ac:dyDescent="0.2">
      <c r="A69" s="971"/>
      <c r="B69" s="605"/>
      <c r="C69" s="972"/>
      <c r="D69" s="977"/>
      <c r="E69" s="993" t="s">
        <v>1247</v>
      </c>
      <c r="F69" s="975"/>
    </row>
    <row r="70" spans="1:6" s="900" customFormat="1" ht="13.5" customHeight="1" x14ac:dyDescent="0.2">
      <c r="A70" s="971"/>
      <c r="B70" s="605"/>
      <c r="C70" s="972"/>
      <c r="D70" s="977"/>
      <c r="E70" s="974" t="s">
        <v>1248</v>
      </c>
      <c r="F70" s="975"/>
    </row>
    <row r="71" spans="1:6" s="900" customFormat="1" ht="13.5" customHeight="1" x14ac:dyDescent="0.2">
      <c r="A71" s="971"/>
      <c r="B71" s="605"/>
      <c r="C71" s="972"/>
      <c r="D71" s="977"/>
      <c r="E71" s="993" t="s">
        <v>1249</v>
      </c>
      <c r="F71" s="975"/>
    </row>
    <row r="72" spans="1:6" s="900" customFormat="1" ht="13.5" customHeight="1" x14ac:dyDescent="0.2">
      <c r="A72" s="971"/>
      <c r="B72" s="605"/>
      <c r="C72" s="972"/>
      <c r="D72" s="977"/>
      <c r="E72" s="993" t="s">
        <v>1250</v>
      </c>
      <c r="F72" s="975"/>
    </row>
    <row r="73" spans="1:6" s="900" customFormat="1" ht="13.5" customHeight="1" x14ac:dyDescent="0.2">
      <c r="A73" s="971"/>
      <c r="B73" s="605"/>
      <c r="C73" s="972"/>
      <c r="D73" s="1008"/>
      <c r="E73" s="1009" t="s">
        <v>1251</v>
      </c>
      <c r="F73" s="979"/>
    </row>
    <row r="74" spans="1:6" s="900" customFormat="1" ht="13.5" customHeight="1" x14ac:dyDescent="0.2">
      <c r="A74" s="971"/>
      <c r="B74" s="605"/>
      <c r="C74" s="972"/>
      <c r="D74" s="1008"/>
      <c r="E74" s="1010" t="s">
        <v>1252</v>
      </c>
      <c r="F74" s="975"/>
    </row>
    <row r="75" spans="1:6" s="900" customFormat="1" ht="13.5" customHeight="1" x14ac:dyDescent="0.2">
      <c r="A75" s="971"/>
      <c r="B75" s="605"/>
      <c r="C75" s="972"/>
      <c r="D75" s="1011"/>
      <c r="E75" s="1012" t="s">
        <v>1253</v>
      </c>
      <c r="F75" s="979"/>
    </row>
    <row r="76" spans="1:6" s="900" customFormat="1" ht="22.5" customHeight="1" x14ac:dyDescent="0.2">
      <c r="A76" s="981"/>
      <c r="B76" s="982"/>
      <c r="C76" s="983"/>
      <c r="D76" s="984"/>
      <c r="E76" s="985" t="s">
        <v>1254</v>
      </c>
      <c r="F76" s="986"/>
    </row>
    <row r="77" spans="1:6" ht="24" customHeight="1" x14ac:dyDescent="0.2">
      <c r="A77" s="917">
        <v>7</v>
      </c>
      <c r="B77" s="917">
        <v>801</v>
      </c>
      <c r="C77" s="917">
        <v>80117</v>
      </c>
      <c r="D77" s="1013" t="s">
        <v>1222</v>
      </c>
      <c r="E77" s="954" t="s">
        <v>1255</v>
      </c>
      <c r="F77" s="925">
        <f>2677774+1983634.18</f>
        <v>4661408.18</v>
      </c>
    </row>
    <row r="78" spans="1:6" s="900" customFormat="1" ht="13.5" customHeight="1" x14ac:dyDescent="0.2">
      <c r="A78" s="971"/>
      <c r="B78" s="605"/>
      <c r="C78" s="972"/>
      <c r="D78" s="977"/>
      <c r="E78" s="1014" t="s">
        <v>1256</v>
      </c>
      <c r="F78" s="979"/>
    </row>
    <row r="79" spans="1:6" s="900" customFormat="1" ht="24" customHeight="1" x14ac:dyDescent="0.2">
      <c r="A79" s="981"/>
      <c r="B79" s="982"/>
      <c r="C79" s="983"/>
      <c r="D79" s="984"/>
      <c r="E79" s="985" t="s">
        <v>1257</v>
      </c>
      <c r="F79" s="986"/>
    </row>
    <row r="80" spans="1:6" ht="24" customHeight="1" x14ac:dyDescent="0.2">
      <c r="A80" s="917">
        <v>8</v>
      </c>
      <c r="B80" s="917">
        <v>801</v>
      </c>
      <c r="C80" s="917">
        <v>80120</v>
      </c>
      <c r="D80" s="1013" t="s">
        <v>1222</v>
      </c>
      <c r="E80" s="954" t="s">
        <v>449</v>
      </c>
      <c r="F80" s="925">
        <f>3471265.85+4785976.45</f>
        <v>8257242.3000000007</v>
      </c>
    </row>
    <row r="81" spans="1:6" s="900" customFormat="1" ht="25.5" customHeight="1" x14ac:dyDescent="0.2">
      <c r="A81" s="971"/>
      <c r="B81" s="605"/>
      <c r="C81" s="972"/>
      <c r="D81" s="977"/>
      <c r="E81" s="980" t="s">
        <v>1258</v>
      </c>
      <c r="F81" s="975"/>
    </row>
    <row r="82" spans="1:6" s="900" customFormat="1" ht="24.75" customHeight="1" x14ac:dyDescent="0.2">
      <c r="A82" s="971"/>
      <c r="B82" s="605"/>
      <c r="C82" s="972"/>
      <c r="D82" s="977"/>
      <c r="E82" s="980" t="s">
        <v>1259</v>
      </c>
      <c r="F82" s="975"/>
    </row>
    <row r="83" spans="1:6" s="900" customFormat="1" ht="13.5" customHeight="1" x14ac:dyDescent="0.2">
      <c r="A83" s="971"/>
      <c r="B83" s="605"/>
      <c r="C83" s="972"/>
      <c r="D83" s="977"/>
      <c r="E83" s="993" t="s">
        <v>1260</v>
      </c>
      <c r="F83" s="975"/>
    </row>
    <row r="84" spans="1:6" s="900" customFormat="1" ht="13.5" customHeight="1" x14ac:dyDescent="0.2">
      <c r="A84" s="981"/>
      <c r="B84" s="982"/>
      <c r="C84" s="983"/>
      <c r="D84" s="984"/>
      <c r="E84" s="994" t="s">
        <v>1261</v>
      </c>
      <c r="F84" s="986"/>
    </row>
    <row r="85" spans="1:6" ht="26.25" customHeight="1" x14ac:dyDescent="0.2">
      <c r="A85" s="917">
        <v>9</v>
      </c>
      <c r="B85" s="917">
        <v>801</v>
      </c>
      <c r="C85" s="917">
        <v>80122</v>
      </c>
      <c r="D85" s="1013" t="s">
        <v>1222</v>
      </c>
      <c r="E85" s="954" t="s">
        <v>654</v>
      </c>
      <c r="F85" s="925">
        <f>395800+902460</f>
        <v>1298260</v>
      </c>
    </row>
    <row r="86" spans="1:6" s="900" customFormat="1" ht="12.75" customHeight="1" x14ac:dyDescent="0.2">
      <c r="A86" s="971"/>
      <c r="B86" s="605"/>
      <c r="C86" s="972"/>
      <c r="D86" s="977"/>
      <c r="E86" s="974" t="s">
        <v>1262</v>
      </c>
      <c r="F86" s="975"/>
    </row>
    <row r="87" spans="1:6" s="900" customFormat="1" ht="22.5" customHeight="1" x14ac:dyDescent="0.2">
      <c r="A87" s="971"/>
      <c r="B87" s="605"/>
      <c r="C87" s="972"/>
      <c r="D87" s="1008"/>
      <c r="E87" s="1015" t="s">
        <v>1263</v>
      </c>
      <c r="F87" s="975"/>
    </row>
    <row r="88" spans="1:6" s="900" customFormat="1" ht="13.5" customHeight="1" x14ac:dyDescent="0.2">
      <c r="A88" s="971"/>
      <c r="B88" s="605"/>
      <c r="C88" s="972"/>
      <c r="D88" s="977"/>
      <c r="E88" s="974" t="s">
        <v>1264</v>
      </c>
      <c r="F88" s="975"/>
    </row>
    <row r="89" spans="1:6" s="900" customFormat="1" ht="13.5" customHeight="1" x14ac:dyDescent="0.2">
      <c r="A89" s="971"/>
      <c r="B89" s="605"/>
      <c r="C89" s="972"/>
      <c r="D89" s="977"/>
      <c r="E89" s="992" t="s">
        <v>1265</v>
      </c>
      <c r="F89" s="975"/>
    </row>
    <row r="90" spans="1:6" s="900" customFormat="1" ht="13.5" customHeight="1" x14ac:dyDescent="0.2">
      <c r="A90" s="971"/>
      <c r="B90" s="605"/>
      <c r="C90" s="972"/>
      <c r="D90" s="977"/>
      <c r="E90" s="992" t="s">
        <v>1266</v>
      </c>
      <c r="F90" s="975"/>
    </row>
    <row r="91" spans="1:6" s="900" customFormat="1" ht="13.5" customHeight="1" x14ac:dyDescent="0.2">
      <c r="A91" s="971"/>
      <c r="B91" s="605"/>
      <c r="C91" s="972"/>
      <c r="D91" s="977"/>
      <c r="E91" s="993" t="s">
        <v>1267</v>
      </c>
      <c r="F91" s="975"/>
    </row>
    <row r="92" spans="1:6" ht="48" customHeight="1" x14ac:dyDescent="0.2">
      <c r="A92" s="919">
        <v>10</v>
      </c>
      <c r="B92" s="919">
        <v>801</v>
      </c>
      <c r="C92" s="919">
        <v>80149</v>
      </c>
      <c r="D92" s="955" t="s">
        <v>1222</v>
      </c>
      <c r="E92" s="927" t="s">
        <v>1268</v>
      </c>
      <c r="F92" s="925">
        <f>5113118.41+55575.11</f>
        <v>5168693.5200000005</v>
      </c>
    </row>
    <row r="93" spans="1:6" s="900" customFormat="1" ht="13.5" customHeight="1" x14ac:dyDescent="0.2">
      <c r="A93" s="971"/>
      <c r="B93" s="605"/>
      <c r="C93" s="972"/>
      <c r="D93" s="977"/>
      <c r="E93" s="980" t="s">
        <v>1237</v>
      </c>
      <c r="F93" s="975"/>
    </row>
    <row r="94" spans="1:6" s="900" customFormat="1" ht="13.5" customHeight="1" x14ac:dyDescent="0.2">
      <c r="A94" s="971"/>
      <c r="B94" s="605"/>
      <c r="C94" s="972"/>
      <c r="D94" s="977"/>
      <c r="E94" s="980" t="s">
        <v>1269</v>
      </c>
      <c r="F94" s="975"/>
    </row>
    <row r="95" spans="1:6" s="900" customFormat="1" ht="13.5" customHeight="1" x14ac:dyDescent="0.2">
      <c r="A95" s="971"/>
      <c r="B95" s="605"/>
      <c r="C95" s="972"/>
      <c r="D95" s="977"/>
      <c r="E95" s="1016" t="s">
        <v>1228</v>
      </c>
      <c r="F95" s="979"/>
    </row>
    <row r="96" spans="1:6" s="900" customFormat="1" ht="13.5" customHeight="1" x14ac:dyDescent="0.2">
      <c r="A96" s="971"/>
      <c r="B96" s="605"/>
      <c r="C96" s="972"/>
      <c r="D96" s="977"/>
      <c r="E96" s="992" t="s">
        <v>1230</v>
      </c>
      <c r="F96" s="975"/>
    </row>
    <row r="97" spans="1:7" s="900" customFormat="1" ht="13.5" customHeight="1" x14ac:dyDescent="0.2">
      <c r="A97" s="971"/>
      <c r="B97" s="605"/>
      <c r="C97" s="972"/>
      <c r="D97" s="977"/>
      <c r="E97" s="980" t="s">
        <v>1270</v>
      </c>
      <c r="F97" s="975"/>
    </row>
    <row r="98" spans="1:7" s="900" customFormat="1" ht="13.5" customHeight="1" x14ac:dyDescent="0.2">
      <c r="A98" s="971"/>
      <c r="B98" s="605"/>
      <c r="C98" s="972"/>
      <c r="D98" s="977"/>
      <c r="E98" s="980" t="s">
        <v>1271</v>
      </c>
      <c r="F98" s="975"/>
    </row>
    <row r="99" spans="1:7" s="900" customFormat="1" ht="13.5" customHeight="1" x14ac:dyDescent="0.2">
      <c r="A99" s="971"/>
      <c r="B99" s="605"/>
      <c r="C99" s="972"/>
      <c r="D99" s="977"/>
      <c r="E99" s="980" t="s">
        <v>1238</v>
      </c>
      <c r="F99" s="975"/>
    </row>
    <row r="100" spans="1:7" s="900" customFormat="1" ht="13.5" customHeight="1" x14ac:dyDescent="0.2">
      <c r="A100" s="971"/>
      <c r="B100" s="605"/>
      <c r="C100" s="972"/>
      <c r="D100" s="977"/>
      <c r="E100" s="980" t="s">
        <v>1233</v>
      </c>
      <c r="F100" s="975"/>
    </row>
    <row r="101" spans="1:7" s="900" customFormat="1" ht="13.5" customHeight="1" x14ac:dyDescent="0.2">
      <c r="A101" s="971"/>
      <c r="B101" s="605"/>
      <c r="C101" s="972"/>
      <c r="D101" s="973"/>
      <c r="E101" s="992" t="s">
        <v>1229</v>
      </c>
      <c r="F101" s="975"/>
    </row>
    <row r="102" spans="1:7" s="900" customFormat="1" ht="13.5" customHeight="1" x14ac:dyDescent="0.2">
      <c r="A102" s="971"/>
      <c r="B102" s="605"/>
      <c r="C102" s="972"/>
      <c r="D102" s="977"/>
      <c r="E102" s="992" t="s">
        <v>1236</v>
      </c>
      <c r="F102" s="975"/>
    </row>
    <row r="103" spans="1:7" s="900" customFormat="1" ht="13.5" customHeight="1" x14ac:dyDescent="0.2">
      <c r="A103" s="971"/>
      <c r="B103" s="605"/>
      <c r="C103" s="972"/>
      <c r="D103" s="977"/>
      <c r="E103" s="992" t="s">
        <v>1232</v>
      </c>
      <c r="F103" s="975"/>
    </row>
    <row r="104" spans="1:7" s="900" customFormat="1" ht="13.5" customHeight="1" x14ac:dyDescent="0.2">
      <c r="A104" s="971"/>
      <c r="B104" s="605"/>
      <c r="C104" s="972"/>
      <c r="D104" s="977"/>
      <c r="E104" s="1016" t="s">
        <v>1239</v>
      </c>
      <c r="F104" s="979"/>
    </row>
    <row r="105" spans="1:7" s="900" customFormat="1" ht="13.5" customHeight="1" x14ac:dyDescent="0.2">
      <c r="A105" s="971"/>
      <c r="B105" s="605"/>
      <c r="C105" s="972"/>
      <c r="D105" s="977"/>
      <c r="E105" s="978" t="s">
        <v>1241</v>
      </c>
      <c r="F105" s="979"/>
    </row>
    <row r="106" spans="1:7" s="900" customFormat="1" ht="13.5" customHeight="1" x14ac:dyDescent="0.2">
      <c r="A106" s="981"/>
      <c r="B106" s="982"/>
      <c r="C106" s="983"/>
      <c r="D106" s="984"/>
      <c r="E106" s="1017" t="s">
        <v>1240</v>
      </c>
      <c r="F106" s="986"/>
    </row>
    <row r="107" spans="1:7" ht="36" customHeight="1" x14ac:dyDescent="0.2">
      <c r="A107" s="917">
        <v>11</v>
      </c>
      <c r="B107" s="917">
        <v>801</v>
      </c>
      <c r="C107" s="917">
        <v>80150</v>
      </c>
      <c r="D107" s="1013" t="s">
        <v>1222</v>
      </c>
      <c r="E107" s="937" t="s">
        <v>1272</v>
      </c>
      <c r="F107" s="925">
        <f>434541.03+548526.98</f>
        <v>983068.01</v>
      </c>
    </row>
    <row r="108" spans="1:7" s="900" customFormat="1" ht="25.5" customHeight="1" x14ac:dyDescent="0.2">
      <c r="A108" s="971"/>
      <c r="B108" s="605"/>
      <c r="C108" s="972"/>
      <c r="D108" s="977"/>
      <c r="E108" s="974" t="s">
        <v>1273</v>
      </c>
      <c r="F108" s="975"/>
    </row>
    <row r="109" spans="1:7" s="900" customFormat="1" ht="25.9" customHeight="1" x14ac:dyDescent="0.2">
      <c r="A109" s="971"/>
      <c r="B109" s="605"/>
      <c r="C109" s="972"/>
      <c r="D109" s="977"/>
      <c r="E109" s="980" t="s">
        <v>1226</v>
      </c>
      <c r="F109" s="975"/>
    </row>
    <row r="110" spans="1:7" s="900" customFormat="1" ht="25.9" customHeight="1" x14ac:dyDescent="0.2">
      <c r="A110" s="971"/>
      <c r="B110" s="605"/>
      <c r="C110" s="972"/>
      <c r="D110" s="977"/>
      <c r="E110" s="978" t="s">
        <v>1225</v>
      </c>
      <c r="F110" s="975"/>
    </row>
    <row r="111" spans="1:7" s="900" customFormat="1" ht="13.5" customHeight="1" x14ac:dyDescent="0.2">
      <c r="A111" s="971"/>
      <c r="B111" s="605"/>
      <c r="C111" s="972"/>
      <c r="D111" s="977"/>
      <c r="E111" s="980" t="s">
        <v>1223</v>
      </c>
      <c r="F111" s="975"/>
    </row>
    <row r="112" spans="1:7" s="900" customFormat="1" ht="13.5" customHeight="1" x14ac:dyDescent="0.2">
      <c r="A112" s="981"/>
      <c r="B112" s="982"/>
      <c r="C112" s="983"/>
      <c r="D112" s="984"/>
      <c r="E112" s="985" t="s">
        <v>1224</v>
      </c>
      <c r="F112" s="986"/>
      <c r="G112" s="976"/>
    </row>
    <row r="113" spans="1:6" ht="13.5" customHeight="1" x14ac:dyDescent="0.2">
      <c r="A113" s="1018">
        <v>12</v>
      </c>
      <c r="B113" s="1018">
        <v>801</v>
      </c>
      <c r="C113" s="1018">
        <v>80151</v>
      </c>
      <c r="D113" s="1019">
        <v>2540</v>
      </c>
      <c r="E113" s="999" t="s">
        <v>660</v>
      </c>
      <c r="F113" s="990">
        <f>54992.29</f>
        <v>54992.29</v>
      </c>
    </row>
    <row r="114" spans="1:6" s="900" customFormat="1" ht="13.5" customHeight="1" x14ac:dyDescent="0.2">
      <c r="A114" s="965"/>
      <c r="B114" s="966"/>
      <c r="C114" s="967"/>
      <c r="D114" s="1020"/>
      <c r="E114" s="1007" t="s">
        <v>1274</v>
      </c>
      <c r="F114" s="970"/>
    </row>
    <row r="115" spans="1:6" s="900" customFormat="1" ht="13.5" customHeight="1" x14ac:dyDescent="0.2">
      <c r="A115" s="981"/>
      <c r="B115" s="982"/>
      <c r="C115" s="983"/>
      <c r="D115" s="1021"/>
      <c r="E115" s="994" t="s">
        <v>1250</v>
      </c>
      <c r="F115" s="986"/>
    </row>
    <row r="116" spans="1:6" ht="96.75" customHeight="1" x14ac:dyDescent="0.2">
      <c r="A116" s="917">
        <v>13</v>
      </c>
      <c r="B116" s="917">
        <v>801</v>
      </c>
      <c r="C116" s="917">
        <v>80152</v>
      </c>
      <c r="D116" s="1013" t="s">
        <v>1222</v>
      </c>
      <c r="E116" s="927" t="s">
        <v>1275</v>
      </c>
      <c r="F116" s="925">
        <f>944760.81+461079.88</f>
        <v>1405840.69</v>
      </c>
    </row>
    <row r="117" spans="1:6" s="900" customFormat="1" ht="13.5" customHeight="1" x14ac:dyDescent="0.2">
      <c r="A117" s="971"/>
      <c r="B117" s="605"/>
      <c r="C117" s="972"/>
      <c r="D117" s="977"/>
      <c r="E117" s="1014" t="s">
        <v>1256</v>
      </c>
      <c r="F117" s="979"/>
    </row>
    <row r="118" spans="1:6" s="900" customFormat="1" ht="13.5" customHeight="1" x14ac:dyDescent="0.2">
      <c r="A118" s="971"/>
      <c r="B118" s="605"/>
      <c r="C118" s="972"/>
      <c r="D118" s="977"/>
      <c r="E118" s="992" t="s">
        <v>1261</v>
      </c>
      <c r="F118" s="975"/>
    </row>
    <row r="119" spans="1:6" s="900" customFormat="1" ht="22.9" customHeight="1" x14ac:dyDescent="0.2">
      <c r="A119" s="971"/>
      <c r="B119" s="605"/>
      <c r="C119" s="972"/>
      <c r="D119" s="973"/>
      <c r="E119" s="1022" t="s">
        <v>1244</v>
      </c>
      <c r="F119" s="979"/>
    </row>
    <row r="120" spans="1:6" s="900" customFormat="1" ht="22.9" customHeight="1" x14ac:dyDescent="0.2">
      <c r="A120" s="971"/>
      <c r="B120" s="605"/>
      <c r="C120" s="972"/>
      <c r="D120" s="977"/>
      <c r="E120" s="980" t="s">
        <v>1258</v>
      </c>
      <c r="F120" s="979"/>
    </row>
    <row r="121" spans="1:6" s="900" customFormat="1" ht="24.75" customHeight="1" x14ac:dyDescent="0.2">
      <c r="A121" s="971"/>
      <c r="B121" s="605"/>
      <c r="C121" s="972"/>
      <c r="D121" s="977"/>
      <c r="E121" s="980" t="s">
        <v>1259</v>
      </c>
      <c r="F121" s="975"/>
    </row>
    <row r="122" spans="1:6" s="900" customFormat="1" ht="13.5" customHeight="1" x14ac:dyDescent="0.2">
      <c r="A122" s="971"/>
      <c r="B122" s="605"/>
      <c r="C122" s="972"/>
      <c r="D122" s="977"/>
      <c r="E122" s="992" t="s">
        <v>1260</v>
      </c>
      <c r="F122" s="975"/>
    </row>
    <row r="123" spans="1:6" s="900" customFormat="1" ht="24" customHeight="1" x14ac:dyDescent="0.2">
      <c r="A123" s="981"/>
      <c r="B123" s="982"/>
      <c r="C123" s="983"/>
      <c r="D123" s="984"/>
      <c r="E123" s="985" t="s">
        <v>1257</v>
      </c>
      <c r="F123" s="986"/>
    </row>
    <row r="124" spans="1:6" ht="15.75" customHeight="1" x14ac:dyDescent="0.2">
      <c r="A124" s="1023">
        <v>14</v>
      </c>
      <c r="B124" s="1023">
        <v>853</v>
      </c>
      <c r="C124" s="1023">
        <v>85311</v>
      </c>
      <c r="D124" s="1006">
        <v>2580</v>
      </c>
      <c r="E124" s="1024" t="s">
        <v>1276</v>
      </c>
      <c r="F124" s="930">
        <f>293325</f>
        <v>293325</v>
      </c>
    </row>
    <row r="125" spans="1:6" s="900" customFormat="1" ht="13.5" customHeight="1" x14ac:dyDescent="0.2">
      <c r="A125" s="1000"/>
      <c r="B125" s="1001"/>
      <c r="C125" s="983"/>
      <c r="D125" s="1025"/>
      <c r="E125" s="982" t="s">
        <v>1277</v>
      </c>
      <c r="F125" s="986"/>
    </row>
    <row r="126" spans="1:6" ht="15.75" customHeight="1" x14ac:dyDescent="0.2">
      <c r="A126" s="1018">
        <v>15</v>
      </c>
      <c r="B126" s="1018">
        <v>854</v>
      </c>
      <c r="C126" s="1026">
        <v>85402</v>
      </c>
      <c r="D126" s="1006">
        <v>2540</v>
      </c>
      <c r="E126" s="1027" t="s">
        <v>670</v>
      </c>
      <c r="F126" s="990">
        <f>1138913.09</f>
        <v>1138913.0900000001</v>
      </c>
    </row>
    <row r="127" spans="1:6" s="900" customFormat="1" ht="13.5" customHeight="1" x14ac:dyDescent="0.2">
      <c r="A127" s="1000"/>
      <c r="B127" s="1001"/>
      <c r="C127" s="1002"/>
      <c r="D127" s="1003"/>
      <c r="E127" s="1028" t="s">
        <v>1278</v>
      </c>
      <c r="F127" s="1005"/>
    </row>
    <row r="128" spans="1:6" ht="25.5" customHeight="1" x14ac:dyDescent="0.2">
      <c r="A128" s="917">
        <v>16</v>
      </c>
      <c r="B128" s="917">
        <v>854</v>
      </c>
      <c r="C128" s="917">
        <v>85404</v>
      </c>
      <c r="D128" s="1029" t="s">
        <v>1222</v>
      </c>
      <c r="E128" s="1030" t="s">
        <v>627</v>
      </c>
      <c r="F128" s="925">
        <f>1189786.53+20000</f>
        <v>1209786.53</v>
      </c>
    </row>
    <row r="129" spans="1:6" s="900" customFormat="1" ht="13.5" customHeight="1" x14ac:dyDescent="0.2">
      <c r="A129" s="971"/>
      <c r="B129" s="605"/>
      <c r="C129" s="972"/>
      <c r="D129" s="977"/>
      <c r="E129" s="993" t="s">
        <v>1239</v>
      </c>
      <c r="F129" s="979"/>
    </row>
    <row r="130" spans="1:6" s="900" customFormat="1" ht="13.5" customHeight="1" x14ac:dyDescent="0.2">
      <c r="A130" s="971"/>
      <c r="B130" s="605"/>
      <c r="C130" s="972"/>
      <c r="D130" s="977"/>
      <c r="E130" s="1031" t="s">
        <v>1230</v>
      </c>
      <c r="F130" s="975"/>
    </row>
    <row r="131" spans="1:6" s="900" customFormat="1" ht="13.5" customHeight="1" x14ac:dyDescent="0.2">
      <c r="A131" s="971"/>
      <c r="B131" s="605"/>
      <c r="C131" s="972"/>
      <c r="D131" s="977"/>
      <c r="E131" s="980" t="s">
        <v>1269</v>
      </c>
      <c r="F131" s="975"/>
    </row>
    <row r="132" spans="1:6" s="900" customFormat="1" ht="13.5" customHeight="1" x14ac:dyDescent="0.2">
      <c r="A132" s="971"/>
      <c r="B132" s="605"/>
      <c r="C132" s="972"/>
      <c r="D132" s="977"/>
      <c r="E132" s="980" t="s">
        <v>1238</v>
      </c>
      <c r="F132" s="975"/>
    </row>
    <row r="133" spans="1:6" s="900" customFormat="1" ht="13.5" customHeight="1" x14ac:dyDescent="0.2">
      <c r="A133" s="971"/>
      <c r="B133" s="605"/>
      <c r="C133" s="972"/>
      <c r="D133" s="977"/>
      <c r="E133" s="992" t="s">
        <v>1234</v>
      </c>
      <c r="F133" s="975"/>
    </row>
    <row r="134" spans="1:6" s="900" customFormat="1" ht="13.5" customHeight="1" x14ac:dyDescent="0.2">
      <c r="A134" s="971"/>
      <c r="B134" s="605"/>
      <c r="C134" s="972"/>
      <c r="D134" s="977"/>
      <c r="E134" s="980" t="s">
        <v>1270</v>
      </c>
      <c r="F134" s="975"/>
    </row>
    <row r="135" spans="1:6" s="900" customFormat="1" ht="13.5" customHeight="1" x14ac:dyDescent="0.2">
      <c r="A135" s="971"/>
      <c r="B135" s="605"/>
      <c r="C135" s="972"/>
      <c r="D135" s="977"/>
      <c r="E135" s="980" t="s">
        <v>1233</v>
      </c>
      <c r="F135" s="975"/>
    </row>
    <row r="136" spans="1:6" s="900" customFormat="1" ht="13.5" customHeight="1" x14ac:dyDescent="0.2">
      <c r="A136" s="971"/>
      <c r="B136" s="605"/>
      <c r="C136" s="972"/>
      <c r="D136" s="977"/>
      <c r="E136" s="1016" t="s">
        <v>1228</v>
      </c>
      <c r="F136" s="979"/>
    </row>
    <row r="137" spans="1:6" s="900" customFormat="1" ht="13.5" customHeight="1" x14ac:dyDescent="0.2">
      <c r="A137" s="981"/>
      <c r="B137" s="982"/>
      <c r="C137" s="983"/>
      <c r="D137" s="977"/>
      <c r="E137" s="978" t="s">
        <v>1241</v>
      </c>
      <c r="F137" s="1032"/>
    </row>
    <row r="138" spans="1:6" ht="25.5" customHeight="1" x14ac:dyDescent="0.2">
      <c r="A138" s="1033">
        <v>17</v>
      </c>
      <c r="B138" s="1033">
        <v>854</v>
      </c>
      <c r="C138" s="1033">
        <v>85406</v>
      </c>
      <c r="D138" s="1034">
        <v>2540</v>
      </c>
      <c r="E138" s="1035" t="s">
        <v>1279</v>
      </c>
      <c r="F138" s="925">
        <f>123905.02</f>
        <v>123905.02</v>
      </c>
    </row>
    <row r="139" spans="1:6" s="900" customFormat="1" ht="13.5" customHeight="1" x14ac:dyDescent="0.2">
      <c r="A139" s="965"/>
      <c r="B139" s="966"/>
      <c r="C139" s="967"/>
      <c r="D139" s="995"/>
      <c r="E139" s="1036" t="s">
        <v>1280</v>
      </c>
      <c r="F139" s="970"/>
    </row>
    <row r="140" spans="1:6" ht="14.25" customHeight="1" x14ac:dyDescent="0.2">
      <c r="A140" s="1018">
        <v>18</v>
      </c>
      <c r="B140" s="1018">
        <v>854</v>
      </c>
      <c r="C140" s="1018">
        <v>85410</v>
      </c>
      <c r="D140" s="1006">
        <v>2590</v>
      </c>
      <c r="E140" s="999" t="s">
        <v>488</v>
      </c>
      <c r="F140" s="990">
        <f>1565082.91</f>
        <v>1565082.91</v>
      </c>
    </row>
    <row r="141" spans="1:6" s="900" customFormat="1" ht="13.5" customHeight="1" x14ac:dyDescent="0.2">
      <c r="A141" s="1000"/>
      <c r="B141" s="1001"/>
      <c r="C141" s="1002"/>
      <c r="D141" s="1025"/>
      <c r="E141" s="982" t="s">
        <v>1281</v>
      </c>
      <c r="F141" s="1037"/>
    </row>
    <row r="142" spans="1:6" ht="14.25" customHeight="1" x14ac:dyDescent="0.2">
      <c r="A142" s="1038"/>
      <c r="B142" s="1039"/>
      <c r="C142" s="1039"/>
      <c r="D142" s="915"/>
      <c r="E142" s="1039" t="s">
        <v>1220</v>
      </c>
      <c r="F142" s="1040">
        <f>SUM(F39:F141)</f>
        <v>65760713.840000004</v>
      </c>
    </row>
    <row r="143" spans="1:6" ht="15.75" customHeight="1" x14ac:dyDescent="0.2">
      <c r="A143" s="1041"/>
      <c r="B143" s="1042"/>
      <c r="C143" s="1042"/>
      <c r="D143" s="915"/>
      <c r="E143" s="1042" t="s">
        <v>1139</v>
      </c>
      <c r="F143" s="1043">
        <f>SUM(F36,F142)</f>
        <v>98308689.129999995</v>
      </c>
    </row>
    <row r="145" spans="1:7" ht="12.6" customHeight="1" x14ac:dyDescent="0.2">
      <c r="A145" s="1044"/>
      <c r="F145" s="928"/>
    </row>
    <row r="146" spans="1:7" x14ac:dyDescent="0.2">
      <c r="F146" s="928"/>
      <c r="G146" s="900"/>
    </row>
    <row r="147" spans="1:7" x14ac:dyDescent="0.2">
      <c r="F147" s="928"/>
      <c r="G147" s="900"/>
    </row>
    <row r="148" spans="1:7" x14ac:dyDescent="0.2">
      <c r="F148" s="928"/>
    </row>
    <row r="149" spans="1:7" x14ac:dyDescent="0.2">
      <c r="F149" s="928"/>
    </row>
    <row r="150" spans="1:7" x14ac:dyDescent="0.2">
      <c r="F150" s="928"/>
    </row>
    <row r="151" spans="1:7" x14ac:dyDescent="0.2">
      <c r="F151" s="928"/>
    </row>
    <row r="152" spans="1:7" x14ac:dyDescent="0.2">
      <c r="F152" s="928"/>
    </row>
  </sheetData>
  <pageMargins left="0.51181102362204722" right="0.51181102362204722" top="0.70866141732283472" bottom="0.74803149606299213" header="0.31496062992125984" footer="0.31496062992125984"/>
  <pageSetup paperSize="9" scale="95" orientation="portrait" useFirstPageNumber="1" r:id="rId1"/>
  <headerFooter>
    <oddFooter>&amp;C&amp;"Arial,Pogrubiony"&amp;8&amp;P</oddFooter>
  </headerFooter>
  <rowBreaks count="3" manualBreakCount="3">
    <brk id="34" max="16383" man="1"/>
    <brk id="79" max="16383" man="1"/>
    <brk id="115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2D65F9-4F5D-40B8-8E92-1CC972E1D36C}">
  <dimension ref="A1:G38"/>
  <sheetViews>
    <sheetView topLeftCell="A7" zoomScale="110" zoomScaleNormal="110" workbookViewId="0">
      <selection activeCell="A9" sqref="A9:G35"/>
    </sheetView>
  </sheetViews>
  <sheetFormatPr defaultRowHeight="15" x14ac:dyDescent="0.25"/>
  <cols>
    <col min="1" max="1" width="4.42578125" style="1045" customWidth="1"/>
    <col min="2" max="2" width="7.5703125" style="1045" customWidth="1"/>
    <col min="3" max="3" width="50.85546875" style="1045" customWidth="1"/>
    <col min="4" max="4" width="14.85546875" style="1045" customWidth="1"/>
    <col min="5" max="5" width="14" style="1045" customWidth="1"/>
    <col min="6" max="6" width="14.140625" style="1045" customWidth="1"/>
    <col min="7" max="7" width="14.7109375" style="1045" customWidth="1"/>
    <col min="8" max="256" width="9.140625" style="1045"/>
    <col min="257" max="257" width="4.42578125" style="1045" customWidth="1"/>
    <col min="258" max="258" width="7.5703125" style="1045" customWidth="1"/>
    <col min="259" max="259" width="47.42578125" style="1045" customWidth="1"/>
    <col min="260" max="260" width="14.85546875" style="1045" customWidth="1"/>
    <col min="261" max="261" width="14" style="1045" customWidth="1"/>
    <col min="262" max="262" width="14.140625" style="1045" customWidth="1"/>
    <col min="263" max="263" width="14.7109375" style="1045" customWidth="1"/>
    <col min="264" max="512" width="9.140625" style="1045"/>
    <col min="513" max="513" width="4.42578125" style="1045" customWidth="1"/>
    <col min="514" max="514" width="7.5703125" style="1045" customWidth="1"/>
    <col min="515" max="515" width="47.42578125" style="1045" customWidth="1"/>
    <col min="516" max="516" width="14.85546875" style="1045" customWidth="1"/>
    <col min="517" max="517" width="14" style="1045" customWidth="1"/>
    <col min="518" max="518" width="14.140625" style="1045" customWidth="1"/>
    <col min="519" max="519" width="14.7109375" style="1045" customWidth="1"/>
    <col min="520" max="768" width="9.140625" style="1045"/>
    <col min="769" max="769" width="4.42578125" style="1045" customWidth="1"/>
    <col min="770" max="770" width="7.5703125" style="1045" customWidth="1"/>
    <col min="771" max="771" width="47.42578125" style="1045" customWidth="1"/>
    <col min="772" max="772" width="14.85546875" style="1045" customWidth="1"/>
    <col min="773" max="773" width="14" style="1045" customWidth="1"/>
    <col min="774" max="774" width="14.140625" style="1045" customWidth="1"/>
    <col min="775" max="775" width="14.7109375" style="1045" customWidth="1"/>
    <col min="776" max="1024" width="9.140625" style="1045"/>
    <col min="1025" max="1025" width="4.42578125" style="1045" customWidth="1"/>
    <col min="1026" max="1026" width="7.5703125" style="1045" customWidth="1"/>
    <col min="1027" max="1027" width="47.42578125" style="1045" customWidth="1"/>
    <col min="1028" max="1028" width="14.85546875" style="1045" customWidth="1"/>
    <col min="1029" max="1029" width="14" style="1045" customWidth="1"/>
    <col min="1030" max="1030" width="14.140625" style="1045" customWidth="1"/>
    <col min="1031" max="1031" width="14.7109375" style="1045" customWidth="1"/>
    <col min="1032" max="1280" width="9.140625" style="1045"/>
    <col min="1281" max="1281" width="4.42578125" style="1045" customWidth="1"/>
    <col min="1282" max="1282" width="7.5703125" style="1045" customWidth="1"/>
    <col min="1283" max="1283" width="47.42578125" style="1045" customWidth="1"/>
    <col min="1284" max="1284" width="14.85546875" style="1045" customWidth="1"/>
    <col min="1285" max="1285" width="14" style="1045" customWidth="1"/>
    <col min="1286" max="1286" width="14.140625" style="1045" customWidth="1"/>
    <col min="1287" max="1287" width="14.7109375" style="1045" customWidth="1"/>
    <col min="1288" max="1536" width="9.140625" style="1045"/>
    <col min="1537" max="1537" width="4.42578125" style="1045" customWidth="1"/>
    <col min="1538" max="1538" width="7.5703125" style="1045" customWidth="1"/>
    <col min="1539" max="1539" width="47.42578125" style="1045" customWidth="1"/>
    <col min="1540" max="1540" width="14.85546875" style="1045" customWidth="1"/>
    <col min="1541" max="1541" width="14" style="1045" customWidth="1"/>
    <col min="1542" max="1542" width="14.140625" style="1045" customWidth="1"/>
    <col min="1543" max="1543" width="14.7109375" style="1045" customWidth="1"/>
    <col min="1544" max="1792" width="9.140625" style="1045"/>
    <col min="1793" max="1793" width="4.42578125" style="1045" customWidth="1"/>
    <col min="1794" max="1794" width="7.5703125" style="1045" customWidth="1"/>
    <col min="1795" max="1795" width="47.42578125" style="1045" customWidth="1"/>
    <col min="1796" max="1796" width="14.85546875" style="1045" customWidth="1"/>
    <col min="1797" max="1797" width="14" style="1045" customWidth="1"/>
    <col min="1798" max="1798" width="14.140625" style="1045" customWidth="1"/>
    <col min="1799" max="1799" width="14.7109375" style="1045" customWidth="1"/>
    <col min="1800" max="2048" width="9.140625" style="1045"/>
    <col min="2049" max="2049" width="4.42578125" style="1045" customWidth="1"/>
    <col min="2050" max="2050" width="7.5703125" style="1045" customWidth="1"/>
    <col min="2051" max="2051" width="47.42578125" style="1045" customWidth="1"/>
    <col min="2052" max="2052" width="14.85546875" style="1045" customWidth="1"/>
    <col min="2053" max="2053" width="14" style="1045" customWidth="1"/>
    <col min="2054" max="2054" width="14.140625" style="1045" customWidth="1"/>
    <col min="2055" max="2055" width="14.7109375" style="1045" customWidth="1"/>
    <col min="2056" max="2304" width="9.140625" style="1045"/>
    <col min="2305" max="2305" width="4.42578125" style="1045" customWidth="1"/>
    <col min="2306" max="2306" width="7.5703125" style="1045" customWidth="1"/>
    <col min="2307" max="2307" width="47.42578125" style="1045" customWidth="1"/>
    <col min="2308" max="2308" width="14.85546875" style="1045" customWidth="1"/>
    <col min="2309" max="2309" width="14" style="1045" customWidth="1"/>
    <col min="2310" max="2310" width="14.140625" style="1045" customWidth="1"/>
    <col min="2311" max="2311" width="14.7109375" style="1045" customWidth="1"/>
    <col min="2312" max="2560" width="9.140625" style="1045"/>
    <col min="2561" max="2561" width="4.42578125" style="1045" customWidth="1"/>
    <col min="2562" max="2562" width="7.5703125" style="1045" customWidth="1"/>
    <col min="2563" max="2563" width="47.42578125" style="1045" customWidth="1"/>
    <col min="2564" max="2564" width="14.85546875" style="1045" customWidth="1"/>
    <col min="2565" max="2565" width="14" style="1045" customWidth="1"/>
    <col min="2566" max="2566" width="14.140625" style="1045" customWidth="1"/>
    <col min="2567" max="2567" width="14.7109375" style="1045" customWidth="1"/>
    <col min="2568" max="2816" width="9.140625" style="1045"/>
    <col min="2817" max="2817" width="4.42578125" style="1045" customWidth="1"/>
    <col min="2818" max="2818" width="7.5703125" style="1045" customWidth="1"/>
    <col min="2819" max="2819" width="47.42578125" style="1045" customWidth="1"/>
    <col min="2820" max="2820" width="14.85546875" style="1045" customWidth="1"/>
    <col min="2821" max="2821" width="14" style="1045" customWidth="1"/>
    <col min="2822" max="2822" width="14.140625" style="1045" customWidth="1"/>
    <col min="2823" max="2823" width="14.7109375" style="1045" customWidth="1"/>
    <col min="2824" max="3072" width="9.140625" style="1045"/>
    <col min="3073" max="3073" width="4.42578125" style="1045" customWidth="1"/>
    <col min="3074" max="3074" width="7.5703125" style="1045" customWidth="1"/>
    <col min="3075" max="3075" width="47.42578125" style="1045" customWidth="1"/>
    <col min="3076" max="3076" width="14.85546875" style="1045" customWidth="1"/>
    <col min="3077" max="3077" width="14" style="1045" customWidth="1"/>
    <col min="3078" max="3078" width="14.140625" style="1045" customWidth="1"/>
    <col min="3079" max="3079" width="14.7109375" style="1045" customWidth="1"/>
    <col min="3080" max="3328" width="9.140625" style="1045"/>
    <col min="3329" max="3329" width="4.42578125" style="1045" customWidth="1"/>
    <col min="3330" max="3330" width="7.5703125" style="1045" customWidth="1"/>
    <col min="3331" max="3331" width="47.42578125" style="1045" customWidth="1"/>
    <col min="3332" max="3332" width="14.85546875" style="1045" customWidth="1"/>
    <col min="3333" max="3333" width="14" style="1045" customWidth="1"/>
    <col min="3334" max="3334" width="14.140625" style="1045" customWidth="1"/>
    <col min="3335" max="3335" width="14.7109375" style="1045" customWidth="1"/>
    <col min="3336" max="3584" width="9.140625" style="1045"/>
    <col min="3585" max="3585" width="4.42578125" style="1045" customWidth="1"/>
    <col min="3586" max="3586" width="7.5703125" style="1045" customWidth="1"/>
    <col min="3587" max="3587" width="47.42578125" style="1045" customWidth="1"/>
    <col min="3588" max="3588" width="14.85546875" style="1045" customWidth="1"/>
    <col min="3589" max="3589" width="14" style="1045" customWidth="1"/>
    <col min="3590" max="3590" width="14.140625" style="1045" customWidth="1"/>
    <col min="3591" max="3591" width="14.7109375" style="1045" customWidth="1"/>
    <col min="3592" max="3840" width="9.140625" style="1045"/>
    <col min="3841" max="3841" width="4.42578125" style="1045" customWidth="1"/>
    <col min="3842" max="3842" width="7.5703125" style="1045" customWidth="1"/>
    <col min="3843" max="3843" width="47.42578125" style="1045" customWidth="1"/>
    <col min="3844" max="3844" width="14.85546875" style="1045" customWidth="1"/>
    <col min="3845" max="3845" width="14" style="1045" customWidth="1"/>
    <col min="3846" max="3846" width="14.140625" style="1045" customWidth="1"/>
    <col min="3847" max="3847" width="14.7109375" style="1045" customWidth="1"/>
    <col min="3848" max="4096" width="9.140625" style="1045"/>
    <col min="4097" max="4097" width="4.42578125" style="1045" customWidth="1"/>
    <col min="4098" max="4098" width="7.5703125" style="1045" customWidth="1"/>
    <col min="4099" max="4099" width="47.42578125" style="1045" customWidth="1"/>
    <col min="4100" max="4100" width="14.85546875" style="1045" customWidth="1"/>
    <col min="4101" max="4101" width="14" style="1045" customWidth="1"/>
    <col min="4102" max="4102" width="14.140625" style="1045" customWidth="1"/>
    <col min="4103" max="4103" width="14.7109375" style="1045" customWidth="1"/>
    <col min="4104" max="4352" width="9.140625" style="1045"/>
    <col min="4353" max="4353" width="4.42578125" style="1045" customWidth="1"/>
    <col min="4354" max="4354" width="7.5703125" style="1045" customWidth="1"/>
    <col min="4355" max="4355" width="47.42578125" style="1045" customWidth="1"/>
    <col min="4356" max="4356" width="14.85546875" style="1045" customWidth="1"/>
    <col min="4357" max="4357" width="14" style="1045" customWidth="1"/>
    <col min="4358" max="4358" width="14.140625" style="1045" customWidth="1"/>
    <col min="4359" max="4359" width="14.7109375" style="1045" customWidth="1"/>
    <col min="4360" max="4608" width="9.140625" style="1045"/>
    <col min="4609" max="4609" width="4.42578125" style="1045" customWidth="1"/>
    <col min="4610" max="4610" width="7.5703125" style="1045" customWidth="1"/>
    <col min="4611" max="4611" width="47.42578125" style="1045" customWidth="1"/>
    <col min="4612" max="4612" width="14.85546875" style="1045" customWidth="1"/>
    <col min="4613" max="4613" width="14" style="1045" customWidth="1"/>
    <col min="4614" max="4614" width="14.140625" style="1045" customWidth="1"/>
    <col min="4615" max="4615" width="14.7109375" style="1045" customWidth="1"/>
    <col min="4616" max="4864" width="9.140625" style="1045"/>
    <col min="4865" max="4865" width="4.42578125" style="1045" customWidth="1"/>
    <col min="4866" max="4866" width="7.5703125" style="1045" customWidth="1"/>
    <col min="4867" max="4867" width="47.42578125" style="1045" customWidth="1"/>
    <col min="4868" max="4868" width="14.85546875" style="1045" customWidth="1"/>
    <col min="4869" max="4869" width="14" style="1045" customWidth="1"/>
    <col min="4870" max="4870" width="14.140625" style="1045" customWidth="1"/>
    <col min="4871" max="4871" width="14.7109375" style="1045" customWidth="1"/>
    <col min="4872" max="5120" width="9.140625" style="1045"/>
    <col min="5121" max="5121" width="4.42578125" style="1045" customWidth="1"/>
    <col min="5122" max="5122" width="7.5703125" style="1045" customWidth="1"/>
    <col min="5123" max="5123" width="47.42578125" style="1045" customWidth="1"/>
    <col min="5124" max="5124" width="14.85546875" style="1045" customWidth="1"/>
    <col min="5125" max="5125" width="14" style="1045" customWidth="1"/>
    <col min="5126" max="5126" width="14.140625" style="1045" customWidth="1"/>
    <col min="5127" max="5127" width="14.7109375" style="1045" customWidth="1"/>
    <col min="5128" max="5376" width="9.140625" style="1045"/>
    <col min="5377" max="5377" width="4.42578125" style="1045" customWidth="1"/>
    <col min="5378" max="5378" width="7.5703125" style="1045" customWidth="1"/>
    <col min="5379" max="5379" width="47.42578125" style="1045" customWidth="1"/>
    <col min="5380" max="5380" width="14.85546875" style="1045" customWidth="1"/>
    <col min="5381" max="5381" width="14" style="1045" customWidth="1"/>
    <col min="5382" max="5382" width="14.140625" style="1045" customWidth="1"/>
    <col min="5383" max="5383" width="14.7109375" style="1045" customWidth="1"/>
    <col min="5384" max="5632" width="9.140625" style="1045"/>
    <col min="5633" max="5633" width="4.42578125" style="1045" customWidth="1"/>
    <col min="5634" max="5634" width="7.5703125" style="1045" customWidth="1"/>
    <col min="5635" max="5635" width="47.42578125" style="1045" customWidth="1"/>
    <col min="5636" max="5636" width="14.85546875" style="1045" customWidth="1"/>
    <col min="5637" max="5637" width="14" style="1045" customWidth="1"/>
    <col min="5638" max="5638" width="14.140625" style="1045" customWidth="1"/>
    <col min="5639" max="5639" width="14.7109375" style="1045" customWidth="1"/>
    <col min="5640" max="5888" width="9.140625" style="1045"/>
    <col min="5889" max="5889" width="4.42578125" style="1045" customWidth="1"/>
    <col min="5890" max="5890" width="7.5703125" style="1045" customWidth="1"/>
    <col min="5891" max="5891" width="47.42578125" style="1045" customWidth="1"/>
    <col min="5892" max="5892" width="14.85546875" style="1045" customWidth="1"/>
    <col min="5893" max="5893" width="14" style="1045" customWidth="1"/>
    <col min="5894" max="5894" width="14.140625" style="1045" customWidth="1"/>
    <col min="5895" max="5895" width="14.7109375" style="1045" customWidth="1"/>
    <col min="5896" max="6144" width="9.140625" style="1045"/>
    <col min="6145" max="6145" width="4.42578125" style="1045" customWidth="1"/>
    <col min="6146" max="6146" width="7.5703125" style="1045" customWidth="1"/>
    <col min="6147" max="6147" width="47.42578125" style="1045" customWidth="1"/>
    <col min="6148" max="6148" width="14.85546875" style="1045" customWidth="1"/>
    <col min="6149" max="6149" width="14" style="1045" customWidth="1"/>
    <col min="6150" max="6150" width="14.140625" style="1045" customWidth="1"/>
    <col min="6151" max="6151" width="14.7109375" style="1045" customWidth="1"/>
    <col min="6152" max="6400" width="9.140625" style="1045"/>
    <col min="6401" max="6401" width="4.42578125" style="1045" customWidth="1"/>
    <col min="6402" max="6402" width="7.5703125" style="1045" customWidth="1"/>
    <col min="6403" max="6403" width="47.42578125" style="1045" customWidth="1"/>
    <col min="6404" max="6404" width="14.85546875" style="1045" customWidth="1"/>
    <col min="6405" max="6405" width="14" style="1045" customWidth="1"/>
    <col min="6406" max="6406" width="14.140625" style="1045" customWidth="1"/>
    <col min="6407" max="6407" width="14.7109375" style="1045" customWidth="1"/>
    <col min="6408" max="6656" width="9.140625" style="1045"/>
    <col min="6657" max="6657" width="4.42578125" style="1045" customWidth="1"/>
    <col min="6658" max="6658" width="7.5703125" style="1045" customWidth="1"/>
    <col min="6659" max="6659" width="47.42578125" style="1045" customWidth="1"/>
    <col min="6660" max="6660" width="14.85546875" style="1045" customWidth="1"/>
    <col min="6661" max="6661" width="14" style="1045" customWidth="1"/>
    <col min="6662" max="6662" width="14.140625" style="1045" customWidth="1"/>
    <col min="6663" max="6663" width="14.7109375" style="1045" customWidth="1"/>
    <col min="6664" max="6912" width="9.140625" style="1045"/>
    <col min="6913" max="6913" width="4.42578125" style="1045" customWidth="1"/>
    <col min="6914" max="6914" width="7.5703125" style="1045" customWidth="1"/>
    <col min="6915" max="6915" width="47.42578125" style="1045" customWidth="1"/>
    <col min="6916" max="6916" width="14.85546875" style="1045" customWidth="1"/>
    <col min="6917" max="6917" width="14" style="1045" customWidth="1"/>
    <col min="6918" max="6918" width="14.140625" style="1045" customWidth="1"/>
    <col min="6919" max="6919" width="14.7109375" style="1045" customWidth="1"/>
    <col min="6920" max="7168" width="9.140625" style="1045"/>
    <col min="7169" max="7169" width="4.42578125" style="1045" customWidth="1"/>
    <col min="7170" max="7170" width="7.5703125" style="1045" customWidth="1"/>
    <col min="7171" max="7171" width="47.42578125" style="1045" customWidth="1"/>
    <col min="7172" max="7172" width="14.85546875" style="1045" customWidth="1"/>
    <col min="7173" max="7173" width="14" style="1045" customWidth="1"/>
    <col min="7174" max="7174" width="14.140625" style="1045" customWidth="1"/>
    <col min="7175" max="7175" width="14.7109375" style="1045" customWidth="1"/>
    <col min="7176" max="7424" width="9.140625" style="1045"/>
    <col min="7425" max="7425" width="4.42578125" style="1045" customWidth="1"/>
    <col min="7426" max="7426" width="7.5703125" style="1045" customWidth="1"/>
    <col min="7427" max="7427" width="47.42578125" style="1045" customWidth="1"/>
    <col min="7428" max="7428" width="14.85546875" style="1045" customWidth="1"/>
    <col min="7429" max="7429" width="14" style="1045" customWidth="1"/>
    <col min="7430" max="7430" width="14.140625" style="1045" customWidth="1"/>
    <col min="7431" max="7431" width="14.7109375" style="1045" customWidth="1"/>
    <col min="7432" max="7680" width="9.140625" style="1045"/>
    <col min="7681" max="7681" width="4.42578125" style="1045" customWidth="1"/>
    <col min="7682" max="7682" width="7.5703125" style="1045" customWidth="1"/>
    <col min="7683" max="7683" width="47.42578125" style="1045" customWidth="1"/>
    <col min="7684" max="7684" width="14.85546875" style="1045" customWidth="1"/>
    <col min="7685" max="7685" width="14" style="1045" customWidth="1"/>
    <col min="7686" max="7686" width="14.140625" style="1045" customWidth="1"/>
    <col min="7687" max="7687" width="14.7109375" style="1045" customWidth="1"/>
    <col min="7688" max="7936" width="9.140625" style="1045"/>
    <col min="7937" max="7937" width="4.42578125" style="1045" customWidth="1"/>
    <col min="7938" max="7938" width="7.5703125" style="1045" customWidth="1"/>
    <col min="7939" max="7939" width="47.42578125" style="1045" customWidth="1"/>
    <col min="7940" max="7940" width="14.85546875" style="1045" customWidth="1"/>
    <col min="7941" max="7941" width="14" style="1045" customWidth="1"/>
    <col min="7942" max="7942" width="14.140625" style="1045" customWidth="1"/>
    <col min="7943" max="7943" width="14.7109375" style="1045" customWidth="1"/>
    <col min="7944" max="8192" width="9.140625" style="1045"/>
    <col min="8193" max="8193" width="4.42578125" style="1045" customWidth="1"/>
    <col min="8194" max="8194" width="7.5703125" style="1045" customWidth="1"/>
    <col min="8195" max="8195" width="47.42578125" style="1045" customWidth="1"/>
    <col min="8196" max="8196" width="14.85546875" style="1045" customWidth="1"/>
    <col min="8197" max="8197" width="14" style="1045" customWidth="1"/>
    <col min="8198" max="8198" width="14.140625" style="1045" customWidth="1"/>
    <col min="8199" max="8199" width="14.7109375" style="1045" customWidth="1"/>
    <col min="8200" max="8448" width="9.140625" style="1045"/>
    <col min="8449" max="8449" width="4.42578125" style="1045" customWidth="1"/>
    <col min="8450" max="8450" width="7.5703125" style="1045" customWidth="1"/>
    <col min="8451" max="8451" width="47.42578125" style="1045" customWidth="1"/>
    <col min="8452" max="8452" width="14.85546875" style="1045" customWidth="1"/>
    <col min="8453" max="8453" width="14" style="1045" customWidth="1"/>
    <col min="8454" max="8454" width="14.140625" style="1045" customWidth="1"/>
    <col min="8455" max="8455" width="14.7109375" style="1045" customWidth="1"/>
    <col min="8456" max="8704" width="9.140625" style="1045"/>
    <col min="8705" max="8705" width="4.42578125" style="1045" customWidth="1"/>
    <col min="8706" max="8706" width="7.5703125" style="1045" customWidth="1"/>
    <col min="8707" max="8707" width="47.42578125" style="1045" customWidth="1"/>
    <col min="8708" max="8708" width="14.85546875" style="1045" customWidth="1"/>
    <col min="8709" max="8709" width="14" style="1045" customWidth="1"/>
    <col min="8710" max="8710" width="14.140625" style="1045" customWidth="1"/>
    <col min="8711" max="8711" width="14.7109375" style="1045" customWidth="1"/>
    <col min="8712" max="8960" width="9.140625" style="1045"/>
    <col min="8961" max="8961" width="4.42578125" style="1045" customWidth="1"/>
    <col min="8962" max="8962" width="7.5703125" style="1045" customWidth="1"/>
    <col min="8963" max="8963" width="47.42578125" style="1045" customWidth="1"/>
    <col min="8964" max="8964" width="14.85546875" style="1045" customWidth="1"/>
    <col min="8965" max="8965" width="14" style="1045" customWidth="1"/>
    <col min="8966" max="8966" width="14.140625" style="1045" customWidth="1"/>
    <col min="8967" max="8967" width="14.7109375" style="1045" customWidth="1"/>
    <col min="8968" max="9216" width="9.140625" style="1045"/>
    <col min="9217" max="9217" width="4.42578125" style="1045" customWidth="1"/>
    <col min="9218" max="9218" width="7.5703125" style="1045" customWidth="1"/>
    <col min="9219" max="9219" width="47.42578125" style="1045" customWidth="1"/>
    <col min="9220" max="9220" width="14.85546875" style="1045" customWidth="1"/>
    <col min="9221" max="9221" width="14" style="1045" customWidth="1"/>
    <col min="9222" max="9222" width="14.140625" style="1045" customWidth="1"/>
    <col min="9223" max="9223" width="14.7109375" style="1045" customWidth="1"/>
    <col min="9224" max="9472" width="9.140625" style="1045"/>
    <col min="9473" max="9473" width="4.42578125" style="1045" customWidth="1"/>
    <col min="9474" max="9474" width="7.5703125" style="1045" customWidth="1"/>
    <col min="9475" max="9475" width="47.42578125" style="1045" customWidth="1"/>
    <col min="9476" max="9476" width="14.85546875" style="1045" customWidth="1"/>
    <col min="9477" max="9477" width="14" style="1045" customWidth="1"/>
    <col min="9478" max="9478" width="14.140625" style="1045" customWidth="1"/>
    <col min="9479" max="9479" width="14.7109375" style="1045" customWidth="1"/>
    <col min="9480" max="9728" width="9.140625" style="1045"/>
    <col min="9729" max="9729" width="4.42578125" style="1045" customWidth="1"/>
    <col min="9730" max="9730" width="7.5703125" style="1045" customWidth="1"/>
    <col min="9731" max="9731" width="47.42578125" style="1045" customWidth="1"/>
    <col min="9732" max="9732" width="14.85546875" style="1045" customWidth="1"/>
    <col min="9733" max="9733" width="14" style="1045" customWidth="1"/>
    <col min="9734" max="9734" width="14.140625" style="1045" customWidth="1"/>
    <col min="9735" max="9735" width="14.7109375" style="1045" customWidth="1"/>
    <col min="9736" max="9984" width="9.140625" style="1045"/>
    <col min="9985" max="9985" width="4.42578125" style="1045" customWidth="1"/>
    <col min="9986" max="9986" width="7.5703125" style="1045" customWidth="1"/>
    <col min="9987" max="9987" width="47.42578125" style="1045" customWidth="1"/>
    <col min="9988" max="9988" width="14.85546875" style="1045" customWidth="1"/>
    <col min="9989" max="9989" width="14" style="1045" customWidth="1"/>
    <col min="9990" max="9990" width="14.140625" style="1045" customWidth="1"/>
    <col min="9991" max="9991" width="14.7109375" style="1045" customWidth="1"/>
    <col min="9992" max="10240" width="9.140625" style="1045"/>
    <col min="10241" max="10241" width="4.42578125" style="1045" customWidth="1"/>
    <col min="10242" max="10242" width="7.5703125" style="1045" customWidth="1"/>
    <col min="10243" max="10243" width="47.42578125" style="1045" customWidth="1"/>
    <col min="10244" max="10244" width="14.85546875" style="1045" customWidth="1"/>
    <col min="10245" max="10245" width="14" style="1045" customWidth="1"/>
    <col min="10246" max="10246" width="14.140625" style="1045" customWidth="1"/>
    <col min="10247" max="10247" width="14.7109375" style="1045" customWidth="1"/>
    <col min="10248" max="10496" width="9.140625" style="1045"/>
    <col min="10497" max="10497" width="4.42578125" style="1045" customWidth="1"/>
    <col min="10498" max="10498" width="7.5703125" style="1045" customWidth="1"/>
    <col min="10499" max="10499" width="47.42578125" style="1045" customWidth="1"/>
    <col min="10500" max="10500" width="14.85546875" style="1045" customWidth="1"/>
    <col min="10501" max="10501" width="14" style="1045" customWidth="1"/>
    <col min="10502" max="10502" width="14.140625" style="1045" customWidth="1"/>
    <col min="10503" max="10503" width="14.7109375" style="1045" customWidth="1"/>
    <col min="10504" max="10752" width="9.140625" style="1045"/>
    <col min="10753" max="10753" width="4.42578125" style="1045" customWidth="1"/>
    <col min="10754" max="10754" width="7.5703125" style="1045" customWidth="1"/>
    <col min="10755" max="10755" width="47.42578125" style="1045" customWidth="1"/>
    <col min="10756" max="10756" width="14.85546875" style="1045" customWidth="1"/>
    <col min="10757" max="10757" width="14" style="1045" customWidth="1"/>
    <col min="10758" max="10758" width="14.140625" style="1045" customWidth="1"/>
    <col min="10759" max="10759" width="14.7109375" style="1045" customWidth="1"/>
    <col min="10760" max="11008" width="9.140625" style="1045"/>
    <col min="11009" max="11009" width="4.42578125" style="1045" customWidth="1"/>
    <col min="11010" max="11010" width="7.5703125" style="1045" customWidth="1"/>
    <col min="11011" max="11011" width="47.42578125" style="1045" customWidth="1"/>
    <col min="11012" max="11012" width="14.85546875" style="1045" customWidth="1"/>
    <col min="11013" max="11013" width="14" style="1045" customWidth="1"/>
    <col min="11014" max="11014" width="14.140625" style="1045" customWidth="1"/>
    <col min="11015" max="11015" width="14.7109375" style="1045" customWidth="1"/>
    <col min="11016" max="11264" width="9.140625" style="1045"/>
    <col min="11265" max="11265" width="4.42578125" style="1045" customWidth="1"/>
    <col min="11266" max="11266" width="7.5703125" style="1045" customWidth="1"/>
    <col min="11267" max="11267" width="47.42578125" style="1045" customWidth="1"/>
    <col min="11268" max="11268" width="14.85546875" style="1045" customWidth="1"/>
    <col min="11269" max="11269" width="14" style="1045" customWidth="1"/>
    <col min="11270" max="11270" width="14.140625" style="1045" customWidth="1"/>
    <col min="11271" max="11271" width="14.7109375" style="1045" customWidth="1"/>
    <col min="11272" max="11520" width="9.140625" style="1045"/>
    <col min="11521" max="11521" width="4.42578125" style="1045" customWidth="1"/>
    <col min="11522" max="11522" width="7.5703125" style="1045" customWidth="1"/>
    <col min="11523" max="11523" width="47.42578125" style="1045" customWidth="1"/>
    <col min="11524" max="11524" width="14.85546875" style="1045" customWidth="1"/>
    <col min="11525" max="11525" width="14" style="1045" customWidth="1"/>
    <col min="11526" max="11526" width="14.140625" style="1045" customWidth="1"/>
    <col min="11527" max="11527" width="14.7109375" style="1045" customWidth="1"/>
    <col min="11528" max="11776" width="9.140625" style="1045"/>
    <col min="11777" max="11777" width="4.42578125" style="1045" customWidth="1"/>
    <col min="11778" max="11778" width="7.5703125" style="1045" customWidth="1"/>
    <col min="11779" max="11779" width="47.42578125" style="1045" customWidth="1"/>
    <col min="11780" max="11780" width="14.85546875" style="1045" customWidth="1"/>
    <col min="11781" max="11781" width="14" style="1045" customWidth="1"/>
    <col min="11782" max="11782" width="14.140625" style="1045" customWidth="1"/>
    <col min="11783" max="11783" width="14.7109375" style="1045" customWidth="1"/>
    <col min="11784" max="12032" width="9.140625" style="1045"/>
    <col min="12033" max="12033" width="4.42578125" style="1045" customWidth="1"/>
    <col min="12034" max="12034" width="7.5703125" style="1045" customWidth="1"/>
    <col min="12035" max="12035" width="47.42578125" style="1045" customWidth="1"/>
    <col min="12036" max="12036" width="14.85546875" style="1045" customWidth="1"/>
    <col min="12037" max="12037" width="14" style="1045" customWidth="1"/>
    <col min="12038" max="12038" width="14.140625" style="1045" customWidth="1"/>
    <col min="12039" max="12039" width="14.7109375" style="1045" customWidth="1"/>
    <col min="12040" max="12288" width="9.140625" style="1045"/>
    <col min="12289" max="12289" width="4.42578125" style="1045" customWidth="1"/>
    <col min="12290" max="12290" width="7.5703125" style="1045" customWidth="1"/>
    <col min="12291" max="12291" width="47.42578125" style="1045" customWidth="1"/>
    <col min="12292" max="12292" width="14.85546875" style="1045" customWidth="1"/>
    <col min="12293" max="12293" width="14" style="1045" customWidth="1"/>
    <col min="12294" max="12294" width="14.140625" style="1045" customWidth="1"/>
    <col min="12295" max="12295" width="14.7109375" style="1045" customWidth="1"/>
    <col min="12296" max="12544" width="9.140625" style="1045"/>
    <col min="12545" max="12545" width="4.42578125" style="1045" customWidth="1"/>
    <col min="12546" max="12546" width="7.5703125" style="1045" customWidth="1"/>
    <col min="12547" max="12547" width="47.42578125" style="1045" customWidth="1"/>
    <col min="12548" max="12548" width="14.85546875" style="1045" customWidth="1"/>
    <col min="12549" max="12549" width="14" style="1045" customWidth="1"/>
    <col min="12550" max="12550" width="14.140625" style="1045" customWidth="1"/>
    <col min="12551" max="12551" width="14.7109375" style="1045" customWidth="1"/>
    <col min="12552" max="12800" width="9.140625" style="1045"/>
    <col min="12801" max="12801" width="4.42578125" style="1045" customWidth="1"/>
    <col min="12802" max="12802" width="7.5703125" style="1045" customWidth="1"/>
    <col min="12803" max="12803" width="47.42578125" style="1045" customWidth="1"/>
    <col min="12804" max="12804" width="14.85546875" style="1045" customWidth="1"/>
    <col min="12805" max="12805" width="14" style="1045" customWidth="1"/>
    <col min="12806" max="12806" width="14.140625" style="1045" customWidth="1"/>
    <col min="12807" max="12807" width="14.7109375" style="1045" customWidth="1"/>
    <col min="12808" max="13056" width="9.140625" style="1045"/>
    <col min="13057" max="13057" width="4.42578125" style="1045" customWidth="1"/>
    <col min="13058" max="13058" width="7.5703125" style="1045" customWidth="1"/>
    <col min="13059" max="13059" width="47.42578125" style="1045" customWidth="1"/>
    <col min="13060" max="13060" width="14.85546875" style="1045" customWidth="1"/>
    <col min="13061" max="13061" width="14" style="1045" customWidth="1"/>
    <col min="13062" max="13062" width="14.140625" style="1045" customWidth="1"/>
    <col min="13063" max="13063" width="14.7109375" style="1045" customWidth="1"/>
    <col min="13064" max="13312" width="9.140625" style="1045"/>
    <col min="13313" max="13313" width="4.42578125" style="1045" customWidth="1"/>
    <col min="13314" max="13314" width="7.5703125" style="1045" customWidth="1"/>
    <col min="13315" max="13315" width="47.42578125" style="1045" customWidth="1"/>
    <col min="13316" max="13316" width="14.85546875" style="1045" customWidth="1"/>
    <col min="13317" max="13317" width="14" style="1045" customWidth="1"/>
    <col min="13318" max="13318" width="14.140625" style="1045" customWidth="1"/>
    <col min="13319" max="13319" width="14.7109375" style="1045" customWidth="1"/>
    <col min="13320" max="13568" width="9.140625" style="1045"/>
    <col min="13569" max="13569" width="4.42578125" style="1045" customWidth="1"/>
    <col min="13570" max="13570" width="7.5703125" style="1045" customWidth="1"/>
    <col min="13571" max="13571" width="47.42578125" style="1045" customWidth="1"/>
    <col min="13572" max="13572" width="14.85546875" style="1045" customWidth="1"/>
    <col min="13573" max="13573" width="14" style="1045" customWidth="1"/>
    <col min="13574" max="13574" width="14.140625" style="1045" customWidth="1"/>
    <col min="13575" max="13575" width="14.7109375" style="1045" customWidth="1"/>
    <col min="13576" max="13824" width="9.140625" style="1045"/>
    <col min="13825" max="13825" width="4.42578125" style="1045" customWidth="1"/>
    <col min="13826" max="13826" width="7.5703125" style="1045" customWidth="1"/>
    <col min="13827" max="13827" width="47.42578125" style="1045" customWidth="1"/>
    <col min="13828" max="13828" width="14.85546875" style="1045" customWidth="1"/>
    <col min="13829" max="13829" width="14" style="1045" customWidth="1"/>
    <col min="13830" max="13830" width="14.140625" style="1045" customWidth="1"/>
    <col min="13831" max="13831" width="14.7109375" style="1045" customWidth="1"/>
    <col min="13832" max="14080" width="9.140625" style="1045"/>
    <col min="14081" max="14081" width="4.42578125" style="1045" customWidth="1"/>
    <col min="14082" max="14082" width="7.5703125" style="1045" customWidth="1"/>
    <col min="14083" max="14083" width="47.42578125" style="1045" customWidth="1"/>
    <col min="14084" max="14084" width="14.85546875" style="1045" customWidth="1"/>
    <col min="14085" max="14085" width="14" style="1045" customWidth="1"/>
    <col min="14086" max="14086" width="14.140625" style="1045" customWidth="1"/>
    <col min="14087" max="14087" width="14.7109375" style="1045" customWidth="1"/>
    <col min="14088" max="14336" width="9.140625" style="1045"/>
    <col min="14337" max="14337" width="4.42578125" style="1045" customWidth="1"/>
    <col min="14338" max="14338" width="7.5703125" style="1045" customWidth="1"/>
    <col min="14339" max="14339" width="47.42578125" style="1045" customWidth="1"/>
    <col min="14340" max="14340" width="14.85546875" style="1045" customWidth="1"/>
    <col min="14341" max="14341" width="14" style="1045" customWidth="1"/>
    <col min="14342" max="14342" width="14.140625" style="1045" customWidth="1"/>
    <col min="14343" max="14343" width="14.7109375" style="1045" customWidth="1"/>
    <col min="14344" max="14592" width="9.140625" style="1045"/>
    <col min="14593" max="14593" width="4.42578125" style="1045" customWidth="1"/>
    <col min="14594" max="14594" width="7.5703125" style="1045" customWidth="1"/>
    <col min="14595" max="14595" width="47.42578125" style="1045" customWidth="1"/>
    <col min="14596" max="14596" width="14.85546875" style="1045" customWidth="1"/>
    <col min="14597" max="14597" width="14" style="1045" customWidth="1"/>
    <col min="14598" max="14598" width="14.140625" style="1045" customWidth="1"/>
    <col min="14599" max="14599" width="14.7109375" style="1045" customWidth="1"/>
    <col min="14600" max="14848" width="9.140625" style="1045"/>
    <col min="14849" max="14849" width="4.42578125" style="1045" customWidth="1"/>
    <col min="14850" max="14850" width="7.5703125" style="1045" customWidth="1"/>
    <col min="14851" max="14851" width="47.42578125" style="1045" customWidth="1"/>
    <col min="14852" max="14852" width="14.85546875" style="1045" customWidth="1"/>
    <col min="14853" max="14853" width="14" style="1045" customWidth="1"/>
    <col min="14854" max="14854" width="14.140625" style="1045" customWidth="1"/>
    <col min="14855" max="14855" width="14.7109375" style="1045" customWidth="1"/>
    <col min="14856" max="15104" width="9.140625" style="1045"/>
    <col min="15105" max="15105" width="4.42578125" style="1045" customWidth="1"/>
    <col min="15106" max="15106" width="7.5703125" style="1045" customWidth="1"/>
    <col min="15107" max="15107" width="47.42578125" style="1045" customWidth="1"/>
    <col min="15108" max="15108" width="14.85546875" style="1045" customWidth="1"/>
    <col min="15109" max="15109" width="14" style="1045" customWidth="1"/>
    <col min="15110" max="15110" width="14.140625" style="1045" customWidth="1"/>
    <col min="15111" max="15111" width="14.7109375" style="1045" customWidth="1"/>
    <col min="15112" max="15360" width="9.140625" style="1045"/>
    <col min="15361" max="15361" width="4.42578125" style="1045" customWidth="1"/>
    <col min="15362" max="15362" width="7.5703125" style="1045" customWidth="1"/>
    <col min="15363" max="15363" width="47.42578125" style="1045" customWidth="1"/>
    <col min="15364" max="15364" width="14.85546875" style="1045" customWidth="1"/>
    <col min="15365" max="15365" width="14" style="1045" customWidth="1"/>
    <col min="15366" max="15366" width="14.140625" style="1045" customWidth="1"/>
    <col min="15367" max="15367" width="14.7109375" style="1045" customWidth="1"/>
    <col min="15368" max="15616" width="9.140625" style="1045"/>
    <col min="15617" max="15617" width="4.42578125" style="1045" customWidth="1"/>
    <col min="15618" max="15618" width="7.5703125" style="1045" customWidth="1"/>
    <col min="15619" max="15619" width="47.42578125" style="1045" customWidth="1"/>
    <col min="15620" max="15620" width="14.85546875" style="1045" customWidth="1"/>
    <col min="15621" max="15621" width="14" style="1045" customWidth="1"/>
    <col min="15622" max="15622" width="14.140625" style="1045" customWidth="1"/>
    <col min="15623" max="15623" width="14.7109375" style="1045" customWidth="1"/>
    <col min="15624" max="15872" width="9.140625" style="1045"/>
    <col min="15873" max="15873" width="4.42578125" style="1045" customWidth="1"/>
    <col min="15874" max="15874" width="7.5703125" style="1045" customWidth="1"/>
    <col min="15875" max="15875" width="47.42578125" style="1045" customWidth="1"/>
    <col min="15876" max="15876" width="14.85546875" style="1045" customWidth="1"/>
    <col min="15877" max="15877" width="14" style="1045" customWidth="1"/>
    <col min="15878" max="15878" width="14.140625" style="1045" customWidth="1"/>
    <col min="15879" max="15879" width="14.7109375" style="1045" customWidth="1"/>
    <col min="15880" max="16128" width="9.140625" style="1045"/>
    <col min="16129" max="16129" width="4.42578125" style="1045" customWidth="1"/>
    <col min="16130" max="16130" width="7.5703125" style="1045" customWidth="1"/>
    <col min="16131" max="16131" width="47.42578125" style="1045" customWidth="1"/>
    <col min="16132" max="16132" width="14.85546875" style="1045" customWidth="1"/>
    <col min="16133" max="16133" width="14" style="1045" customWidth="1"/>
    <col min="16134" max="16134" width="14.140625" style="1045" customWidth="1"/>
    <col min="16135" max="16135" width="14.7109375" style="1045" customWidth="1"/>
    <col min="16136" max="16384" width="9.140625" style="1045"/>
  </cols>
  <sheetData>
    <row r="1" spans="1:7" x14ac:dyDescent="0.25">
      <c r="F1" s="1046" t="s">
        <v>1282</v>
      </c>
    </row>
    <row r="2" spans="1:7" x14ac:dyDescent="0.25">
      <c r="F2" s="1047" t="s">
        <v>80</v>
      </c>
    </row>
    <row r="3" spans="1:7" x14ac:dyDescent="0.25">
      <c r="F3" s="1047" t="s">
        <v>81</v>
      </c>
    </row>
    <row r="4" spans="1:7" x14ac:dyDescent="0.25">
      <c r="F4" s="1047" t="s">
        <v>82</v>
      </c>
    </row>
    <row r="5" spans="1:7" s="1048" customFormat="1" ht="12.75" x14ac:dyDescent="0.2">
      <c r="A5" s="1183" t="s">
        <v>1283</v>
      </c>
      <c r="B5" s="1183"/>
      <c r="C5" s="1183"/>
      <c r="D5" s="1183"/>
      <c r="E5" s="1183"/>
      <c r="F5" s="1183"/>
      <c r="G5" s="1183"/>
    </row>
    <row r="6" spans="1:7" s="1048" customFormat="1" ht="12.75" x14ac:dyDescent="0.2">
      <c r="A6" s="1049" t="s">
        <v>1284</v>
      </c>
      <c r="B6" s="1049"/>
      <c r="C6" s="1049"/>
      <c r="D6" s="1049"/>
      <c r="E6" s="1049"/>
      <c r="F6" s="1049"/>
      <c r="G6" s="1049"/>
    </row>
    <row r="7" spans="1:7" x14ac:dyDescent="0.25">
      <c r="A7" s="1184" t="s">
        <v>1285</v>
      </c>
      <c r="B7" s="1184"/>
      <c r="C7" s="1184"/>
      <c r="D7" s="1184"/>
      <c r="E7" s="1184"/>
      <c r="F7" s="1184"/>
      <c r="G7" s="1184"/>
    </row>
    <row r="8" spans="1:7" x14ac:dyDescent="0.25">
      <c r="A8" s="1050"/>
      <c r="B8" s="1050"/>
      <c r="C8" s="1051"/>
      <c r="D8" s="1050"/>
      <c r="E8" s="1050"/>
      <c r="F8" s="1050"/>
      <c r="G8" s="1052"/>
    </row>
    <row r="9" spans="1:7" x14ac:dyDescent="0.25">
      <c r="A9" s="1185" t="s">
        <v>950</v>
      </c>
      <c r="B9" s="1053"/>
      <c r="C9" s="1185" t="s">
        <v>1286</v>
      </c>
      <c r="D9" s="1188" t="s">
        <v>1287</v>
      </c>
      <c r="E9" s="1054"/>
      <c r="F9" s="1055"/>
      <c r="G9" s="1188" t="s">
        <v>1288</v>
      </c>
    </row>
    <row r="10" spans="1:7" x14ac:dyDescent="0.25">
      <c r="A10" s="1186"/>
      <c r="B10" s="1056" t="s">
        <v>6</v>
      </c>
      <c r="C10" s="1186"/>
      <c r="D10" s="1189"/>
      <c r="E10" s="1189" t="s">
        <v>1289</v>
      </c>
      <c r="F10" s="1189" t="s">
        <v>1144</v>
      </c>
      <c r="G10" s="1189"/>
    </row>
    <row r="11" spans="1:7" x14ac:dyDescent="0.25">
      <c r="A11" s="1186"/>
      <c r="B11" s="1057"/>
      <c r="C11" s="1186"/>
      <c r="D11" s="1189"/>
      <c r="E11" s="1189"/>
      <c r="F11" s="1189"/>
      <c r="G11" s="1189"/>
    </row>
    <row r="12" spans="1:7" ht="11.25" customHeight="1" x14ac:dyDescent="0.25">
      <c r="A12" s="1187"/>
      <c r="B12" s="1057" t="s">
        <v>86</v>
      </c>
      <c r="C12" s="1187"/>
      <c r="D12" s="1190"/>
      <c r="E12" s="1190"/>
      <c r="F12" s="1190"/>
      <c r="G12" s="1190"/>
    </row>
    <row r="13" spans="1:7" x14ac:dyDescent="0.25">
      <c r="A13" s="1058">
        <v>1</v>
      </c>
      <c r="B13" s="1058">
        <v>2</v>
      </c>
      <c r="C13" s="1058">
        <v>3</v>
      </c>
      <c r="D13" s="1058">
        <v>4</v>
      </c>
      <c r="E13" s="1058">
        <v>5</v>
      </c>
      <c r="F13" s="1058">
        <v>6</v>
      </c>
      <c r="G13" s="1058">
        <v>7</v>
      </c>
    </row>
    <row r="14" spans="1:7" s="1050" customFormat="1" ht="12" customHeight="1" x14ac:dyDescent="0.25">
      <c r="A14" s="1059"/>
      <c r="B14" s="1060">
        <v>801</v>
      </c>
      <c r="C14" s="1343"/>
      <c r="D14" s="1344"/>
      <c r="E14" s="1344"/>
      <c r="F14" s="1344"/>
      <c r="G14" s="1344"/>
    </row>
    <row r="15" spans="1:7" x14ac:dyDescent="0.25">
      <c r="A15" s="1061" t="s">
        <v>1075</v>
      </c>
      <c r="B15" s="1345">
        <v>80101</v>
      </c>
      <c r="C15" s="1062" t="s">
        <v>313</v>
      </c>
      <c r="D15" s="1346">
        <v>0</v>
      </c>
      <c r="E15" s="1346">
        <v>836922.84</v>
      </c>
      <c r="F15" s="1346">
        <v>836922.84</v>
      </c>
      <c r="G15" s="1346">
        <v>0</v>
      </c>
    </row>
    <row r="16" spans="1:7" x14ac:dyDescent="0.25">
      <c r="A16" s="1061" t="s">
        <v>1082</v>
      </c>
      <c r="B16" s="1345">
        <v>80104</v>
      </c>
      <c r="C16" s="1063" t="s">
        <v>315</v>
      </c>
      <c r="D16" s="1347">
        <v>0</v>
      </c>
      <c r="E16" s="1347">
        <v>5571932</v>
      </c>
      <c r="F16" s="1347">
        <v>5571932</v>
      </c>
      <c r="G16" s="1347">
        <v>0</v>
      </c>
    </row>
    <row r="17" spans="1:7" x14ac:dyDescent="0.25">
      <c r="A17" s="1064" t="s">
        <v>1085</v>
      </c>
      <c r="B17" s="1348">
        <v>80148</v>
      </c>
      <c r="C17" s="1065" t="s">
        <v>606</v>
      </c>
      <c r="D17" s="1349">
        <v>0</v>
      </c>
      <c r="E17" s="1349">
        <v>3299009</v>
      </c>
      <c r="F17" s="1349">
        <v>3299009</v>
      </c>
      <c r="G17" s="1349">
        <v>0</v>
      </c>
    </row>
    <row r="18" spans="1:7" x14ac:dyDescent="0.25">
      <c r="A18" s="1066"/>
      <c r="B18" s="1350"/>
      <c r="C18" s="1351" t="s">
        <v>1290</v>
      </c>
      <c r="D18" s="1352">
        <f>SUM(D15:D17)</f>
        <v>0</v>
      </c>
      <c r="E18" s="1352">
        <f t="shared" ref="E18:G18" si="0">SUM(E15:E17)</f>
        <v>9707863.8399999999</v>
      </c>
      <c r="F18" s="1352">
        <f t="shared" si="0"/>
        <v>9707863.8399999999</v>
      </c>
      <c r="G18" s="1353">
        <f t="shared" si="0"/>
        <v>0</v>
      </c>
    </row>
    <row r="19" spans="1:7" ht="12" customHeight="1" x14ac:dyDescent="0.25">
      <c r="A19" s="1067"/>
      <c r="B19" s="1354"/>
      <c r="C19" s="1068"/>
      <c r="D19" s="1355"/>
      <c r="E19" s="1355"/>
      <c r="F19" s="1355"/>
      <c r="G19" s="1355"/>
    </row>
    <row r="20" spans="1:7" x14ac:dyDescent="0.25">
      <c r="A20" s="1069"/>
      <c r="B20" s="1070">
        <v>801</v>
      </c>
      <c r="C20" s="1356"/>
      <c r="D20" s="1357"/>
      <c r="E20" s="1357"/>
      <c r="F20" s="1357"/>
      <c r="G20" s="1357"/>
    </row>
    <row r="21" spans="1:7" x14ac:dyDescent="0.25">
      <c r="A21" s="1071" t="s">
        <v>1075</v>
      </c>
      <c r="B21" s="1358">
        <v>80102</v>
      </c>
      <c r="C21" s="1062" t="s">
        <v>445</v>
      </c>
      <c r="D21" s="1346">
        <v>0</v>
      </c>
      <c r="E21" s="1346">
        <v>6400</v>
      </c>
      <c r="F21" s="1346">
        <v>6400</v>
      </c>
      <c r="G21" s="1346">
        <v>0</v>
      </c>
    </row>
    <row r="22" spans="1:7" x14ac:dyDescent="0.25">
      <c r="A22" s="1061" t="s">
        <v>1082</v>
      </c>
      <c r="B22" s="1345">
        <v>80115</v>
      </c>
      <c r="C22" s="1063" t="s">
        <v>447</v>
      </c>
      <c r="D22" s="1347">
        <v>0</v>
      </c>
      <c r="E22" s="1347">
        <v>1119251</v>
      </c>
      <c r="F22" s="1347">
        <v>1119251</v>
      </c>
      <c r="G22" s="1347">
        <v>0</v>
      </c>
    </row>
    <row r="23" spans="1:7" x14ac:dyDescent="0.25">
      <c r="A23" s="1061" t="s">
        <v>1085</v>
      </c>
      <c r="B23" s="1345">
        <v>80120</v>
      </c>
      <c r="C23" s="1063" t="s">
        <v>449</v>
      </c>
      <c r="D23" s="1359">
        <v>0</v>
      </c>
      <c r="E23" s="1347">
        <v>278650</v>
      </c>
      <c r="F23" s="1347">
        <v>278650</v>
      </c>
      <c r="G23" s="1347">
        <v>0</v>
      </c>
    </row>
    <row r="24" spans="1:7" x14ac:dyDescent="0.25">
      <c r="A24" s="1061" t="s">
        <v>1089</v>
      </c>
      <c r="B24" s="1345">
        <v>80132</v>
      </c>
      <c r="C24" s="1063" t="s">
        <v>1291</v>
      </c>
      <c r="D24" s="1347">
        <v>0</v>
      </c>
      <c r="E24" s="1347">
        <v>95000</v>
      </c>
      <c r="F24" s="1347">
        <v>95000</v>
      </c>
      <c r="G24" s="1360">
        <v>0</v>
      </c>
    </row>
    <row r="25" spans="1:7" ht="25.5" x14ac:dyDescent="0.25">
      <c r="A25" s="1061" t="s">
        <v>1092</v>
      </c>
      <c r="B25" s="1361">
        <v>80140</v>
      </c>
      <c r="C25" s="1072" t="s">
        <v>1292</v>
      </c>
      <c r="D25" s="1362">
        <v>0</v>
      </c>
      <c r="E25" s="1362">
        <v>172386</v>
      </c>
      <c r="F25" s="1362">
        <v>172386</v>
      </c>
      <c r="G25" s="1362">
        <v>0</v>
      </c>
    </row>
    <row r="26" spans="1:7" ht="14.25" customHeight="1" x14ac:dyDescent="0.25">
      <c r="A26" s="1061" t="s">
        <v>1095</v>
      </c>
      <c r="B26" s="1361">
        <v>80142</v>
      </c>
      <c r="C26" s="1072" t="s">
        <v>659</v>
      </c>
      <c r="D26" s="1347">
        <v>0</v>
      </c>
      <c r="E26" s="1347">
        <v>319147</v>
      </c>
      <c r="F26" s="1347">
        <v>319147</v>
      </c>
      <c r="G26" s="1347">
        <v>0</v>
      </c>
    </row>
    <row r="27" spans="1:7" ht="14.25" customHeight="1" x14ac:dyDescent="0.25">
      <c r="A27" s="1061" t="s">
        <v>1098</v>
      </c>
      <c r="B27" s="1361">
        <v>80144</v>
      </c>
      <c r="C27" s="1072" t="s">
        <v>1293</v>
      </c>
      <c r="D27" s="1347">
        <v>0</v>
      </c>
      <c r="E27" s="1347">
        <v>114800</v>
      </c>
      <c r="F27" s="1347">
        <v>114800</v>
      </c>
      <c r="G27" s="1347">
        <v>0</v>
      </c>
    </row>
    <row r="28" spans="1:7" x14ac:dyDescent="0.25">
      <c r="A28" s="1061" t="s">
        <v>1101</v>
      </c>
      <c r="B28" s="1361">
        <v>80148</v>
      </c>
      <c r="C28" s="1063" t="s">
        <v>606</v>
      </c>
      <c r="D28" s="1359">
        <v>0</v>
      </c>
      <c r="E28" s="1359">
        <v>220000</v>
      </c>
      <c r="F28" s="1359">
        <v>220000</v>
      </c>
      <c r="G28" s="1359">
        <v>0</v>
      </c>
    </row>
    <row r="29" spans="1:7" ht="12" customHeight="1" x14ac:dyDescent="0.25">
      <c r="A29" s="1363"/>
      <c r="B29" s="1070">
        <v>854</v>
      </c>
      <c r="C29" s="1073"/>
      <c r="D29" s="1364"/>
      <c r="E29" s="1364"/>
      <c r="F29" s="1364"/>
      <c r="G29" s="1364"/>
    </row>
    <row r="30" spans="1:7" ht="23.25" customHeight="1" x14ac:dyDescent="0.25">
      <c r="A30" s="1365" t="s">
        <v>1075</v>
      </c>
      <c r="B30" s="1074">
        <v>85406</v>
      </c>
      <c r="C30" s="1075" t="s">
        <v>1294</v>
      </c>
      <c r="D30" s="1362">
        <v>0</v>
      </c>
      <c r="E30" s="1362">
        <v>4960</v>
      </c>
      <c r="F30" s="1362">
        <v>4960</v>
      </c>
      <c r="G30" s="1362">
        <v>0</v>
      </c>
    </row>
    <row r="31" spans="1:7" x14ac:dyDescent="0.25">
      <c r="A31" s="1365" t="s">
        <v>1082</v>
      </c>
      <c r="B31" s="1345">
        <v>85410</v>
      </c>
      <c r="C31" s="1063" t="s">
        <v>488</v>
      </c>
      <c r="D31" s="1347">
        <v>0</v>
      </c>
      <c r="E31" s="1347">
        <v>662650</v>
      </c>
      <c r="F31" s="1347">
        <v>662650</v>
      </c>
      <c r="G31" s="1347">
        <v>0</v>
      </c>
    </row>
    <row r="32" spans="1:7" x14ac:dyDescent="0.25">
      <c r="A32" s="1365" t="s">
        <v>1085</v>
      </c>
      <c r="B32" s="1345">
        <v>85417</v>
      </c>
      <c r="C32" s="1075" t="s">
        <v>671</v>
      </c>
      <c r="D32" s="1347">
        <v>0</v>
      </c>
      <c r="E32" s="1347">
        <v>153400</v>
      </c>
      <c r="F32" s="1347">
        <v>153400</v>
      </c>
      <c r="G32" s="1347">
        <v>0</v>
      </c>
    </row>
    <row r="33" spans="1:7" x14ac:dyDescent="0.25">
      <c r="A33" s="1366" t="s">
        <v>1089</v>
      </c>
      <c r="B33" s="1367">
        <v>85420</v>
      </c>
      <c r="C33" s="1065" t="s">
        <v>492</v>
      </c>
      <c r="D33" s="1368">
        <v>0</v>
      </c>
      <c r="E33" s="1368">
        <v>27160</v>
      </c>
      <c r="F33" s="1368">
        <v>27160</v>
      </c>
      <c r="G33" s="1369">
        <v>0</v>
      </c>
    </row>
    <row r="34" spans="1:7" x14ac:dyDescent="0.25">
      <c r="A34" s="1370"/>
      <c r="B34" s="1367"/>
      <c r="C34" s="1351" t="s">
        <v>1295</v>
      </c>
      <c r="D34" s="1076">
        <f>SUM(D30:D33)</f>
        <v>0</v>
      </c>
      <c r="E34" s="1076">
        <f>SUM(E21:E33)</f>
        <v>3173804</v>
      </c>
      <c r="F34" s="1076">
        <f t="shared" ref="F34:G34" si="1">SUM(F21:F33)</f>
        <v>3173804</v>
      </c>
      <c r="G34" s="1076">
        <f t="shared" si="1"/>
        <v>0</v>
      </c>
    </row>
    <row r="35" spans="1:7" x14ac:dyDescent="0.25">
      <c r="A35" s="1371"/>
      <c r="B35" s="1372"/>
      <c r="C35" s="1351" t="s">
        <v>1296</v>
      </c>
      <c r="D35" s="1077">
        <f>SUM(D15:D33)</f>
        <v>0</v>
      </c>
      <c r="E35" s="1077">
        <f>E18+E34</f>
        <v>12881667.84</v>
      </c>
      <c r="F35" s="1077">
        <f t="shared" ref="F35:G35" si="2">F18+F34</f>
        <v>12881667.84</v>
      </c>
      <c r="G35" s="1077">
        <f t="shared" si="2"/>
        <v>0</v>
      </c>
    </row>
    <row r="36" spans="1:7" x14ac:dyDescent="0.25">
      <c r="A36" s="1078"/>
      <c r="B36" s="1078"/>
      <c r="C36" s="1079"/>
    </row>
    <row r="37" spans="1:7" x14ac:dyDescent="0.25">
      <c r="A37" s="1078"/>
      <c r="B37" s="1078"/>
      <c r="C37" s="1079"/>
    </row>
    <row r="38" spans="1:7" x14ac:dyDescent="0.25">
      <c r="A38" s="1078"/>
      <c r="B38" s="1078"/>
      <c r="C38" s="1079"/>
    </row>
  </sheetData>
  <mergeCells count="8">
    <mergeCell ref="A5:G5"/>
    <mergeCell ref="A7:G7"/>
    <mergeCell ref="A9:A12"/>
    <mergeCell ref="C9:C12"/>
    <mergeCell ref="D9:D12"/>
    <mergeCell ref="G9:G12"/>
    <mergeCell ref="E10:E12"/>
    <mergeCell ref="F10:F12"/>
  </mergeCells>
  <pageMargins left="0.70866141732283472" right="0.70866141732283472" top="0.55118110236220474" bottom="0.55118110236220474" header="0.31496062992125984" footer="0.31496062992125984"/>
  <pageSetup paperSize="9" firstPageNumber="7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AD17AB-1330-4DE1-8B5E-5C9AF077D37C}">
  <dimension ref="A2:H20"/>
  <sheetViews>
    <sheetView zoomScale="120" zoomScaleNormal="120" workbookViewId="0">
      <selection activeCell="G22" sqref="G22"/>
    </sheetView>
  </sheetViews>
  <sheetFormatPr defaultRowHeight="15" x14ac:dyDescent="0.25"/>
  <cols>
    <col min="1" max="1" width="7" style="1045" customWidth="1"/>
    <col min="2" max="2" width="45" style="1045" customWidth="1"/>
    <col min="3" max="3" width="14.85546875" style="1045" customWidth="1"/>
    <col min="4" max="5" width="14" style="1045" customWidth="1"/>
    <col min="6" max="7" width="14.140625" style="1045" customWidth="1"/>
    <col min="8" max="8" width="14.7109375" style="1045" customWidth="1"/>
    <col min="9" max="190" width="9.140625" style="1045"/>
    <col min="191" max="191" width="4.42578125" style="1045" customWidth="1"/>
    <col min="192" max="192" width="7.5703125" style="1045" customWidth="1"/>
    <col min="193" max="193" width="47.42578125" style="1045" customWidth="1"/>
    <col min="194" max="194" width="14.85546875" style="1045" customWidth="1"/>
    <col min="195" max="195" width="14" style="1045" customWidth="1"/>
    <col min="196" max="196" width="14.140625" style="1045" customWidth="1"/>
    <col min="197" max="197" width="14.7109375" style="1045" customWidth="1"/>
    <col min="198" max="446" width="9.140625" style="1045"/>
    <col min="447" max="447" width="4.42578125" style="1045" customWidth="1"/>
    <col min="448" max="448" width="7.5703125" style="1045" customWidth="1"/>
    <col min="449" max="449" width="47.42578125" style="1045" customWidth="1"/>
    <col min="450" max="450" width="14.85546875" style="1045" customWidth="1"/>
    <col min="451" max="451" width="14" style="1045" customWidth="1"/>
    <col min="452" max="452" width="14.140625" style="1045" customWidth="1"/>
    <col min="453" max="453" width="14.7109375" style="1045" customWidth="1"/>
    <col min="454" max="702" width="9.140625" style="1045"/>
    <col min="703" max="703" width="4.42578125" style="1045" customWidth="1"/>
    <col min="704" max="704" width="7.5703125" style="1045" customWidth="1"/>
    <col min="705" max="705" width="47.42578125" style="1045" customWidth="1"/>
    <col min="706" max="706" width="14.85546875" style="1045" customWidth="1"/>
    <col min="707" max="707" width="14" style="1045" customWidth="1"/>
    <col min="708" max="708" width="14.140625" style="1045" customWidth="1"/>
    <col min="709" max="709" width="14.7109375" style="1045" customWidth="1"/>
    <col min="710" max="958" width="9.140625" style="1045"/>
    <col min="959" max="959" width="4.42578125" style="1045" customWidth="1"/>
    <col min="960" max="960" width="7.5703125" style="1045" customWidth="1"/>
    <col min="961" max="961" width="47.42578125" style="1045" customWidth="1"/>
    <col min="962" max="962" width="14.85546875" style="1045" customWidth="1"/>
    <col min="963" max="963" width="14" style="1045" customWidth="1"/>
    <col min="964" max="964" width="14.140625" style="1045" customWidth="1"/>
    <col min="965" max="965" width="14.7109375" style="1045" customWidth="1"/>
    <col min="966" max="1214" width="9.140625" style="1045"/>
    <col min="1215" max="1215" width="4.42578125" style="1045" customWidth="1"/>
    <col min="1216" max="1216" width="7.5703125" style="1045" customWidth="1"/>
    <col min="1217" max="1217" width="47.42578125" style="1045" customWidth="1"/>
    <col min="1218" max="1218" width="14.85546875" style="1045" customWidth="1"/>
    <col min="1219" max="1219" width="14" style="1045" customWidth="1"/>
    <col min="1220" max="1220" width="14.140625" style="1045" customWidth="1"/>
    <col min="1221" max="1221" width="14.7109375" style="1045" customWidth="1"/>
    <col min="1222" max="1470" width="9.140625" style="1045"/>
    <col min="1471" max="1471" width="4.42578125" style="1045" customWidth="1"/>
    <col min="1472" max="1472" width="7.5703125" style="1045" customWidth="1"/>
    <col min="1473" max="1473" width="47.42578125" style="1045" customWidth="1"/>
    <col min="1474" max="1474" width="14.85546875" style="1045" customWidth="1"/>
    <col min="1475" max="1475" width="14" style="1045" customWidth="1"/>
    <col min="1476" max="1476" width="14.140625" style="1045" customWidth="1"/>
    <col min="1477" max="1477" width="14.7109375" style="1045" customWidth="1"/>
    <col min="1478" max="1726" width="9.140625" style="1045"/>
    <col min="1727" max="1727" width="4.42578125" style="1045" customWidth="1"/>
    <col min="1728" max="1728" width="7.5703125" style="1045" customWidth="1"/>
    <col min="1729" max="1729" width="47.42578125" style="1045" customWidth="1"/>
    <col min="1730" max="1730" width="14.85546875" style="1045" customWidth="1"/>
    <col min="1731" max="1731" width="14" style="1045" customWidth="1"/>
    <col min="1732" max="1732" width="14.140625" style="1045" customWidth="1"/>
    <col min="1733" max="1733" width="14.7109375" style="1045" customWidth="1"/>
    <col min="1734" max="1982" width="9.140625" style="1045"/>
    <col min="1983" max="1983" width="4.42578125" style="1045" customWidth="1"/>
    <col min="1984" max="1984" width="7.5703125" style="1045" customWidth="1"/>
    <col min="1985" max="1985" width="47.42578125" style="1045" customWidth="1"/>
    <col min="1986" max="1986" width="14.85546875" style="1045" customWidth="1"/>
    <col min="1987" max="1987" width="14" style="1045" customWidth="1"/>
    <col min="1988" max="1988" width="14.140625" style="1045" customWidth="1"/>
    <col min="1989" max="1989" width="14.7109375" style="1045" customWidth="1"/>
    <col min="1990" max="2238" width="9.140625" style="1045"/>
    <col min="2239" max="2239" width="4.42578125" style="1045" customWidth="1"/>
    <col min="2240" max="2240" width="7.5703125" style="1045" customWidth="1"/>
    <col min="2241" max="2241" width="47.42578125" style="1045" customWidth="1"/>
    <col min="2242" max="2242" width="14.85546875" style="1045" customWidth="1"/>
    <col min="2243" max="2243" width="14" style="1045" customWidth="1"/>
    <col min="2244" max="2244" width="14.140625" style="1045" customWidth="1"/>
    <col min="2245" max="2245" width="14.7109375" style="1045" customWidth="1"/>
    <col min="2246" max="2494" width="9.140625" style="1045"/>
    <col min="2495" max="2495" width="4.42578125" style="1045" customWidth="1"/>
    <col min="2496" max="2496" width="7.5703125" style="1045" customWidth="1"/>
    <col min="2497" max="2497" width="47.42578125" style="1045" customWidth="1"/>
    <col min="2498" max="2498" width="14.85546875" style="1045" customWidth="1"/>
    <col min="2499" max="2499" width="14" style="1045" customWidth="1"/>
    <col min="2500" max="2500" width="14.140625" style="1045" customWidth="1"/>
    <col min="2501" max="2501" width="14.7109375" style="1045" customWidth="1"/>
    <col min="2502" max="2750" width="9.140625" style="1045"/>
    <col min="2751" max="2751" width="4.42578125" style="1045" customWidth="1"/>
    <col min="2752" max="2752" width="7.5703125" style="1045" customWidth="1"/>
    <col min="2753" max="2753" width="47.42578125" style="1045" customWidth="1"/>
    <col min="2754" max="2754" width="14.85546875" style="1045" customWidth="1"/>
    <col min="2755" max="2755" width="14" style="1045" customWidth="1"/>
    <col min="2756" max="2756" width="14.140625" style="1045" customWidth="1"/>
    <col min="2757" max="2757" width="14.7109375" style="1045" customWidth="1"/>
    <col min="2758" max="3006" width="9.140625" style="1045"/>
    <col min="3007" max="3007" width="4.42578125" style="1045" customWidth="1"/>
    <col min="3008" max="3008" width="7.5703125" style="1045" customWidth="1"/>
    <col min="3009" max="3009" width="47.42578125" style="1045" customWidth="1"/>
    <col min="3010" max="3010" width="14.85546875" style="1045" customWidth="1"/>
    <col min="3011" max="3011" width="14" style="1045" customWidth="1"/>
    <col min="3012" max="3012" width="14.140625" style="1045" customWidth="1"/>
    <col min="3013" max="3013" width="14.7109375" style="1045" customWidth="1"/>
    <col min="3014" max="3262" width="9.140625" style="1045"/>
    <col min="3263" max="3263" width="4.42578125" style="1045" customWidth="1"/>
    <col min="3264" max="3264" width="7.5703125" style="1045" customWidth="1"/>
    <col min="3265" max="3265" width="47.42578125" style="1045" customWidth="1"/>
    <col min="3266" max="3266" width="14.85546875" style="1045" customWidth="1"/>
    <col min="3267" max="3267" width="14" style="1045" customWidth="1"/>
    <col min="3268" max="3268" width="14.140625" style="1045" customWidth="1"/>
    <col min="3269" max="3269" width="14.7109375" style="1045" customWidth="1"/>
    <col min="3270" max="3518" width="9.140625" style="1045"/>
    <col min="3519" max="3519" width="4.42578125" style="1045" customWidth="1"/>
    <col min="3520" max="3520" width="7.5703125" style="1045" customWidth="1"/>
    <col min="3521" max="3521" width="47.42578125" style="1045" customWidth="1"/>
    <col min="3522" max="3522" width="14.85546875" style="1045" customWidth="1"/>
    <col min="3523" max="3523" width="14" style="1045" customWidth="1"/>
    <col min="3524" max="3524" width="14.140625" style="1045" customWidth="1"/>
    <col min="3525" max="3525" width="14.7109375" style="1045" customWidth="1"/>
    <col min="3526" max="3774" width="9.140625" style="1045"/>
    <col min="3775" max="3775" width="4.42578125" style="1045" customWidth="1"/>
    <col min="3776" max="3776" width="7.5703125" style="1045" customWidth="1"/>
    <col min="3777" max="3777" width="47.42578125" style="1045" customWidth="1"/>
    <col min="3778" max="3778" width="14.85546875" style="1045" customWidth="1"/>
    <col min="3779" max="3779" width="14" style="1045" customWidth="1"/>
    <col min="3780" max="3780" width="14.140625" style="1045" customWidth="1"/>
    <col min="3781" max="3781" width="14.7109375" style="1045" customWidth="1"/>
    <col min="3782" max="4030" width="9.140625" style="1045"/>
    <col min="4031" max="4031" width="4.42578125" style="1045" customWidth="1"/>
    <col min="4032" max="4032" width="7.5703125" style="1045" customWidth="1"/>
    <col min="4033" max="4033" width="47.42578125" style="1045" customWidth="1"/>
    <col min="4034" max="4034" width="14.85546875" style="1045" customWidth="1"/>
    <col min="4035" max="4035" width="14" style="1045" customWidth="1"/>
    <col min="4036" max="4036" width="14.140625" style="1045" customWidth="1"/>
    <col min="4037" max="4037" width="14.7109375" style="1045" customWidth="1"/>
    <col min="4038" max="4286" width="9.140625" style="1045"/>
    <col min="4287" max="4287" width="4.42578125" style="1045" customWidth="1"/>
    <col min="4288" max="4288" width="7.5703125" style="1045" customWidth="1"/>
    <col min="4289" max="4289" width="47.42578125" style="1045" customWidth="1"/>
    <col min="4290" max="4290" width="14.85546875" style="1045" customWidth="1"/>
    <col min="4291" max="4291" width="14" style="1045" customWidth="1"/>
    <col min="4292" max="4292" width="14.140625" style="1045" customWidth="1"/>
    <col min="4293" max="4293" width="14.7109375" style="1045" customWidth="1"/>
    <col min="4294" max="4542" width="9.140625" style="1045"/>
    <col min="4543" max="4543" width="4.42578125" style="1045" customWidth="1"/>
    <col min="4544" max="4544" width="7.5703125" style="1045" customWidth="1"/>
    <col min="4545" max="4545" width="47.42578125" style="1045" customWidth="1"/>
    <col min="4546" max="4546" width="14.85546875" style="1045" customWidth="1"/>
    <col min="4547" max="4547" width="14" style="1045" customWidth="1"/>
    <col min="4548" max="4548" width="14.140625" style="1045" customWidth="1"/>
    <col min="4549" max="4549" width="14.7109375" style="1045" customWidth="1"/>
    <col min="4550" max="4798" width="9.140625" style="1045"/>
    <col min="4799" max="4799" width="4.42578125" style="1045" customWidth="1"/>
    <col min="4800" max="4800" width="7.5703125" style="1045" customWidth="1"/>
    <col min="4801" max="4801" width="47.42578125" style="1045" customWidth="1"/>
    <col min="4802" max="4802" width="14.85546875" style="1045" customWidth="1"/>
    <col min="4803" max="4803" width="14" style="1045" customWidth="1"/>
    <col min="4804" max="4804" width="14.140625" style="1045" customWidth="1"/>
    <col min="4805" max="4805" width="14.7109375" style="1045" customWidth="1"/>
    <col min="4806" max="5054" width="9.140625" style="1045"/>
    <col min="5055" max="5055" width="4.42578125" style="1045" customWidth="1"/>
    <col min="5056" max="5056" width="7.5703125" style="1045" customWidth="1"/>
    <col min="5057" max="5057" width="47.42578125" style="1045" customWidth="1"/>
    <col min="5058" max="5058" width="14.85546875" style="1045" customWidth="1"/>
    <col min="5059" max="5059" width="14" style="1045" customWidth="1"/>
    <col min="5060" max="5060" width="14.140625" style="1045" customWidth="1"/>
    <col min="5061" max="5061" width="14.7109375" style="1045" customWidth="1"/>
    <col min="5062" max="5310" width="9.140625" style="1045"/>
    <col min="5311" max="5311" width="4.42578125" style="1045" customWidth="1"/>
    <col min="5312" max="5312" width="7.5703125" style="1045" customWidth="1"/>
    <col min="5313" max="5313" width="47.42578125" style="1045" customWidth="1"/>
    <col min="5314" max="5314" width="14.85546875" style="1045" customWidth="1"/>
    <col min="5315" max="5315" width="14" style="1045" customWidth="1"/>
    <col min="5316" max="5316" width="14.140625" style="1045" customWidth="1"/>
    <col min="5317" max="5317" width="14.7109375" style="1045" customWidth="1"/>
    <col min="5318" max="5566" width="9.140625" style="1045"/>
    <col min="5567" max="5567" width="4.42578125" style="1045" customWidth="1"/>
    <col min="5568" max="5568" width="7.5703125" style="1045" customWidth="1"/>
    <col min="5569" max="5569" width="47.42578125" style="1045" customWidth="1"/>
    <col min="5570" max="5570" width="14.85546875" style="1045" customWidth="1"/>
    <col min="5571" max="5571" width="14" style="1045" customWidth="1"/>
    <col min="5572" max="5572" width="14.140625" style="1045" customWidth="1"/>
    <col min="5573" max="5573" width="14.7109375" style="1045" customWidth="1"/>
    <col min="5574" max="5822" width="9.140625" style="1045"/>
    <col min="5823" max="5823" width="4.42578125" style="1045" customWidth="1"/>
    <col min="5824" max="5824" width="7.5703125" style="1045" customWidth="1"/>
    <col min="5825" max="5825" width="47.42578125" style="1045" customWidth="1"/>
    <col min="5826" max="5826" width="14.85546875" style="1045" customWidth="1"/>
    <col min="5827" max="5827" width="14" style="1045" customWidth="1"/>
    <col min="5828" max="5828" width="14.140625" style="1045" customWidth="1"/>
    <col min="5829" max="5829" width="14.7109375" style="1045" customWidth="1"/>
    <col min="5830" max="6078" width="9.140625" style="1045"/>
    <col min="6079" max="6079" width="4.42578125" style="1045" customWidth="1"/>
    <col min="6080" max="6080" width="7.5703125" style="1045" customWidth="1"/>
    <col min="6081" max="6081" width="47.42578125" style="1045" customWidth="1"/>
    <col min="6082" max="6082" width="14.85546875" style="1045" customWidth="1"/>
    <col min="6083" max="6083" width="14" style="1045" customWidth="1"/>
    <col min="6084" max="6084" width="14.140625" style="1045" customWidth="1"/>
    <col min="6085" max="6085" width="14.7109375" style="1045" customWidth="1"/>
    <col min="6086" max="6334" width="9.140625" style="1045"/>
    <col min="6335" max="6335" width="4.42578125" style="1045" customWidth="1"/>
    <col min="6336" max="6336" width="7.5703125" style="1045" customWidth="1"/>
    <col min="6337" max="6337" width="47.42578125" style="1045" customWidth="1"/>
    <col min="6338" max="6338" width="14.85546875" style="1045" customWidth="1"/>
    <col min="6339" max="6339" width="14" style="1045" customWidth="1"/>
    <col min="6340" max="6340" width="14.140625" style="1045" customWidth="1"/>
    <col min="6341" max="6341" width="14.7109375" style="1045" customWidth="1"/>
    <col min="6342" max="6590" width="9.140625" style="1045"/>
    <col min="6591" max="6591" width="4.42578125" style="1045" customWidth="1"/>
    <col min="6592" max="6592" width="7.5703125" style="1045" customWidth="1"/>
    <col min="6593" max="6593" width="47.42578125" style="1045" customWidth="1"/>
    <col min="6594" max="6594" width="14.85546875" style="1045" customWidth="1"/>
    <col min="6595" max="6595" width="14" style="1045" customWidth="1"/>
    <col min="6596" max="6596" width="14.140625" style="1045" customWidth="1"/>
    <col min="6597" max="6597" width="14.7109375" style="1045" customWidth="1"/>
    <col min="6598" max="6846" width="9.140625" style="1045"/>
    <col min="6847" max="6847" width="4.42578125" style="1045" customWidth="1"/>
    <col min="6848" max="6848" width="7.5703125" style="1045" customWidth="1"/>
    <col min="6849" max="6849" width="47.42578125" style="1045" customWidth="1"/>
    <col min="6850" max="6850" width="14.85546875" style="1045" customWidth="1"/>
    <col min="6851" max="6851" width="14" style="1045" customWidth="1"/>
    <col min="6852" max="6852" width="14.140625" style="1045" customWidth="1"/>
    <col min="6853" max="6853" width="14.7109375" style="1045" customWidth="1"/>
    <col min="6854" max="7102" width="9.140625" style="1045"/>
    <col min="7103" max="7103" width="4.42578125" style="1045" customWidth="1"/>
    <col min="7104" max="7104" width="7.5703125" style="1045" customWidth="1"/>
    <col min="7105" max="7105" width="47.42578125" style="1045" customWidth="1"/>
    <col min="7106" max="7106" width="14.85546875" style="1045" customWidth="1"/>
    <col min="7107" max="7107" width="14" style="1045" customWidth="1"/>
    <col min="7108" max="7108" width="14.140625" style="1045" customWidth="1"/>
    <col min="7109" max="7109" width="14.7109375" style="1045" customWidth="1"/>
    <col min="7110" max="7358" width="9.140625" style="1045"/>
    <col min="7359" max="7359" width="4.42578125" style="1045" customWidth="1"/>
    <col min="7360" max="7360" width="7.5703125" style="1045" customWidth="1"/>
    <col min="7361" max="7361" width="47.42578125" style="1045" customWidth="1"/>
    <col min="7362" max="7362" width="14.85546875" style="1045" customWidth="1"/>
    <col min="7363" max="7363" width="14" style="1045" customWidth="1"/>
    <col min="7364" max="7364" width="14.140625" style="1045" customWidth="1"/>
    <col min="7365" max="7365" width="14.7109375" style="1045" customWidth="1"/>
    <col min="7366" max="7614" width="9.140625" style="1045"/>
    <col min="7615" max="7615" width="4.42578125" style="1045" customWidth="1"/>
    <col min="7616" max="7616" width="7.5703125" style="1045" customWidth="1"/>
    <col min="7617" max="7617" width="47.42578125" style="1045" customWidth="1"/>
    <col min="7618" max="7618" width="14.85546875" style="1045" customWidth="1"/>
    <col min="7619" max="7619" width="14" style="1045" customWidth="1"/>
    <col min="7620" max="7620" width="14.140625" style="1045" customWidth="1"/>
    <col min="7621" max="7621" width="14.7109375" style="1045" customWidth="1"/>
    <col min="7622" max="7870" width="9.140625" style="1045"/>
    <col min="7871" max="7871" width="4.42578125" style="1045" customWidth="1"/>
    <col min="7872" max="7872" width="7.5703125" style="1045" customWidth="1"/>
    <col min="7873" max="7873" width="47.42578125" style="1045" customWidth="1"/>
    <col min="7874" max="7874" width="14.85546875" style="1045" customWidth="1"/>
    <col min="7875" max="7875" width="14" style="1045" customWidth="1"/>
    <col min="7876" max="7876" width="14.140625" style="1045" customWidth="1"/>
    <col min="7877" max="7877" width="14.7109375" style="1045" customWidth="1"/>
    <col min="7878" max="8126" width="9.140625" style="1045"/>
    <col min="8127" max="8127" width="4.42578125" style="1045" customWidth="1"/>
    <col min="8128" max="8128" width="7.5703125" style="1045" customWidth="1"/>
    <col min="8129" max="8129" width="47.42578125" style="1045" customWidth="1"/>
    <col min="8130" max="8130" width="14.85546875" style="1045" customWidth="1"/>
    <col min="8131" max="8131" width="14" style="1045" customWidth="1"/>
    <col min="8132" max="8132" width="14.140625" style="1045" customWidth="1"/>
    <col min="8133" max="8133" width="14.7109375" style="1045" customWidth="1"/>
    <col min="8134" max="8382" width="9.140625" style="1045"/>
    <col min="8383" max="8383" width="4.42578125" style="1045" customWidth="1"/>
    <col min="8384" max="8384" width="7.5703125" style="1045" customWidth="1"/>
    <col min="8385" max="8385" width="47.42578125" style="1045" customWidth="1"/>
    <col min="8386" max="8386" width="14.85546875" style="1045" customWidth="1"/>
    <col min="8387" max="8387" width="14" style="1045" customWidth="1"/>
    <col min="8388" max="8388" width="14.140625" style="1045" customWidth="1"/>
    <col min="8389" max="8389" width="14.7109375" style="1045" customWidth="1"/>
    <col min="8390" max="8638" width="9.140625" style="1045"/>
    <col min="8639" max="8639" width="4.42578125" style="1045" customWidth="1"/>
    <col min="8640" max="8640" width="7.5703125" style="1045" customWidth="1"/>
    <col min="8641" max="8641" width="47.42578125" style="1045" customWidth="1"/>
    <col min="8642" max="8642" width="14.85546875" style="1045" customWidth="1"/>
    <col min="8643" max="8643" width="14" style="1045" customWidth="1"/>
    <col min="8644" max="8644" width="14.140625" style="1045" customWidth="1"/>
    <col min="8645" max="8645" width="14.7109375" style="1045" customWidth="1"/>
    <col min="8646" max="8894" width="9.140625" style="1045"/>
    <col min="8895" max="8895" width="4.42578125" style="1045" customWidth="1"/>
    <col min="8896" max="8896" width="7.5703125" style="1045" customWidth="1"/>
    <col min="8897" max="8897" width="47.42578125" style="1045" customWidth="1"/>
    <col min="8898" max="8898" width="14.85546875" style="1045" customWidth="1"/>
    <col min="8899" max="8899" width="14" style="1045" customWidth="1"/>
    <col min="8900" max="8900" width="14.140625" style="1045" customWidth="1"/>
    <col min="8901" max="8901" width="14.7109375" style="1045" customWidth="1"/>
    <col min="8902" max="9150" width="9.140625" style="1045"/>
    <col min="9151" max="9151" width="4.42578125" style="1045" customWidth="1"/>
    <col min="9152" max="9152" width="7.5703125" style="1045" customWidth="1"/>
    <col min="9153" max="9153" width="47.42578125" style="1045" customWidth="1"/>
    <col min="9154" max="9154" width="14.85546875" style="1045" customWidth="1"/>
    <col min="9155" max="9155" width="14" style="1045" customWidth="1"/>
    <col min="9156" max="9156" width="14.140625" style="1045" customWidth="1"/>
    <col min="9157" max="9157" width="14.7109375" style="1045" customWidth="1"/>
    <col min="9158" max="9406" width="9.140625" style="1045"/>
    <col min="9407" max="9407" width="4.42578125" style="1045" customWidth="1"/>
    <col min="9408" max="9408" width="7.5703125" style="1045" customWidth="1"/>
    <col min="9409" max="9409" width="47.42578125" style="1045" customWidth="1"/>
    <col min="9410" max="9410" width="14.85546875" style="1045" customWidth="1"/>
    <col min="9411" max="9411" width="14" style="1045" customWidth="1"/>
    <col min="9412" max="9412" width="14.140625" style="1045" customWidth="1"/>
    <col min="9413" max="9413" width="14.7109375" style="1045" customWidth="1"/>
    <col min="9414" max="9662" width="9.140625" style="1045"/>
    <col min="9663" max="9663" width="4.42578125" style="1045" customWidth="1"/>
    <col min="9664" max="9664" width="7.5703125" style="1045" customWidth="1"/>
    <col min="9665" max="9665" width="47.42578125" style="1045" customWidth="1"/>
    <col min="9666" max="9666" width="14.85546875" style="1045" customWidth="1"/>
    <col min="9667" max="9667" width="14" style="1045" customWidth="1"/>
    <col min="9668" max="9668" width="14.140625" style="1045" customWidth="1"/>
    <col min="9669" max="9669" width="14.7109375" style="1045" customWidth="1"/>
    <col min="9670" max="9918" width="9.140625" style="1045"/>
    <col min="9919" max="9919" width="4.42578125" style="1045" customWidth="1"/>
    <col min="9920" max="9920" width="7.5703125" style="1045" customWidth="1"/>
    <col min="9921" max="9921" width="47.42578125" style="1045" customWidth="1"/>
    <col min="9922" max="9922" width="14.85546875" style="1045" customWidth="1"/>
    <col min="9923" max="9923" width="14" style="1045" customWidth="1"/>
    <col min="9924" max="9924" width="14.140625" style="1045" customWidth="1"/>
    <col min="9925" max="9925" width="14.7109375" style="1045" customWidth="1"/>
    <col min="9926" max="10174" width="9.140625" style="1045"/>
    <col min="10175" max="10175" width="4.42578125" style="1045" customWidth="1"/>
    <col min="10176" max="10176" width="7.5703125" style="1045" customWidth="1"/>
    <col min="10177" max="10177" width="47.42578125" style="1045" customWidth="1"/>
    <col min="10178" max="10178" width="14.85546875" style="1045" customWidth="1"/>
    <col min="10179" max="10179" width="14" style="1045" customWidth="1"/>
    <col min="10180" max="10180" width="14.140625" style="1045" customWidth="1"/>
    <col min="10181" max="10181" width="14.7109375" style="1045" customWidth="1"/>
    <col min="10182" max="10430" width="9.140625" style="1045"/>
    <col min="10431" max="10431" width="4.42578125" style="1045" customWidth="1"/>
    <col min="10432" max="10432" width="7.5703125" style="1045" customWidth="1"/>
    <col min="10433" max="10433" width="47.42578125" style="1045" customWidth="1"/>
    <col min="10434" max="10434" width="14.85546875" style="1045" customWidth="1"/>
    <col min="10435" max="10435" width="14" style="1045" customWidth="1"/>
    <col min="10436" max="10436" width="14.140625" style="1045" customWidth="1"/>
    <col min="10437" max="10437" width="14.7109375" style="1045" customWidth="1"/>
    <col min="10438" max="10686" width="9.140625" style="1045"/>
    <col min="10687" max="10687" width="4.42578125" style="1045" customWidth="1"/>
    <col min="10688" max="10688" width="7.5703125" style="1045" customWidth="1"/>
    <col min="10689" max="10689" width="47.42578125" style="1045" customWidth="1"/>
    <col min="10690" max="10690" width="14.85546875" style="1045" customWidth="1"/>
    <col min="10691" max="10691" width="14" style="1045" customWidth="1"/>
    <col min="10692" max="10692" width="14.140625" style="1045" customWidth="1"/>
    <col min="10693" max="10693" width="14.7109375" style="1045" customWidth="1"/>
    <col min="10694" max="10942" width="9.140625" style="1045"/>
    <col min="10943" max="10943" width="4.42578125" style="1045" customWidth="1"/>
    <col min="10944" max="10944" width="7.5703125" style="1045" customWidth="1"/>
    <col min="10945" max="10945" width="47.42578125" style="1045" customWidth="1"/>
    <col min="10946" max="10946" width="14.85546875" style="1045" customWidth="1"/>
    <col min="10947" max="10947" width="14" style="1045" customWidth="1"/>
    <col min="10948" max="10948" width="14.140625" style="1045" customWidth="1"/>
    <col min="10949" max="10949" width="14.7109375" style="1045" customWidth="1"/>
    <col min="10950" max="11198" width="9.140625" style="1045"/>
    <col min="11199" max="11199" width="4.42578125" style="1045" customWidth="1"/>
    <col min="11200" max="11200" width="7.5703125" style="1045" customWidth="1"/>
    <col min="11201" max="11201" width="47.42578125" style="1045" customWidth="1"/>
    <col min="11202" max="11202" width="14.85546875" style="1045" customWidth="1"/>
    <col min="11203" max="11203" width="14" style="1045" customWidth="1"/>
    <col min="11204" max="11204" width="14.140625" style="1045" customWidth="1"/>
    <col min="11205" max="11205" width="14.7109375" style="1045" customWidth="1"/>
    <col min="11206" max="11454" width="9.140625" style="1045"/>
    <col min="11455" max="11455" width="4.42578125" style="1045" customWidth="1"/>
    <col min="11456" max="11456" width="7.5703125" style="1045" customWidth="1"/>
    <col min="11457" max="11457" width="47.42578125" style="1045" customWidth="1"/>
    <col min="11458" max="11458" width="14.85546875" style="1045" customWidth="1"/>
    <col min="11459" max="11459" width="14" style="1045" customWidth="1"/>
    <col min="11460" max="11460" width="14.140625" style="1045" customWidth="1"/>
    <col min="11461" max="11461" width="14.7109375" style="1045" customWidth="1"/>
    <col min="11462" max="11710" width="9.140625" style="1045"/>
    <col min="11711" max="11711" width="4.42578125" style="1045" customWidth="1"/>
    <col min="11712" max="11712" width="7.5703125" style="1045" customWidth="1"/>
    <col min="11713" max="11713" width="47.42578125" style="1045" customWidth="1"/>
    <col min="11714" max="11714" width="14.85546875" style="1045" customWidth="1"/>
    <col min="11715" max="11715" width="14" style="1045" customWidth="1"/>
    <col min="11716" max="11716" width="14.140625" style="1045" customWidth="1"/>
    <col min="11717" max="11717" width="14.7109375" style="1045" customWidth="1"/>
    <col min="11718" max="11966" width="9.140625" style="1045"/>
    <col min="11967" max="11967" width="4.42578125" style="1045" customWidth="1"/>
    <col min="11968" max="11968" width="7.5703125" style="1045" customWidth="1"/>
    <col min="11969" max="11969" width="47.42578125" style="1045" customWidth="1"/>
    <col min="11970" max="11970" width="14.85546875" style="1045" customWidth="1"/>
    <col min="11971" max="11971" width="14" style="1045" customWidth="1"/>
    <col min="11972" max="11972" width="14.140625" style="1045" customWidth="1"/>
    <col min="11973" max="11973" width="14.7109375" style="1045" customWidth="1"/>
    <col min="11974" max="12222" width="9.140625" style="1045"/>
    <col min="12223" max="12223" width="4.42578125" style="1045" customWidth="1"/>
    <col min="12224" max="12224" width="7.5703125" style="1045" customWidth="1"/>
    <col min="12225" max="12225" width="47.42578125" style="1045" customWidth="1"/>
    <col min="12226" max="12226" width="14.85546875" style="1045" customWidth="1"/>
    <col min="12227" max="12227" width="14" style="1045" customWidth="1"/>
    <col min="12228" max="12228" width="14.140625" style="1045" customWidth="1"/>
    <col min="12229" max="12229" width="14.7109375" style="1045" customWidth="1"/>
    <col min="12230" max="12478" width="9.140625" style="1045"/>
    <col min="12479" max="12479" width="4.42578125" style="1045" customWidth="1"/>
    <col min="12480" max="12480" width="7.5703125" style="1045" customWidth="1"/>
    <col min="12481" max="12481" width="47.42578125" style="1045" customWidth="1"/>
    <col min="12482" max="12482" width="14.85546875" style="1045" customWidth="1"/>
    <col min="12483" max="12483" width="14" style="1045" customWidth="1"/>
    <col min="12484" max="12484" width="14.140625" style="1045" customWidth="1"/>
    <col min="12485" max="12485" width="14.7109375" style="1045" customWidth="1"/>
    <col min="12486" max="12734" width="9.140625" style="1045"/>
    <col min="12735" max="12735" width="4.42578125" style="1045" customWidth="1"/>
    <col min="12736" max="12736" width="7.5703125" style="1045" customWidth="1"/>
    <col min="12737" max="12737" width="47.42578125" style="1045" customWidth="1"/>
    <col min="12738" max="12738" width="14.85546875" style="1045" customWidth="1"/>
    <col min="12739" max="12739" width="14" style="1045" customWidth="1"/>
    <col min="12740" max="12740" width="14.140625" style="1045" customWidth="1"/>
    <col min="12741" max="12741" width="14.7109375" style="1045" customWidth="1"/>
    <col min="12742" max="12990" width="9.140625" style="1045"/>
    <col min="12991" max="12991" width="4.42578125" style="1045" customWidth="1"/>
    <col min="12992" max="12992" width="7.5703125" style="1045" customWidth="1"/>
    <col min="12993" max="12993" width="47.42578125" style="1045" customWidth="1"/>
    <col min="12994" max="12994" width="14.85546875" style="1045" customWidth="1"/>
    <col min="12995" max="12995" width="14" style="1045" customWidth="1"/>
    <col min="12996" max="12996" width="14.140625" style="1045" customWidth="1"/>
    <col min="12997" max="12997" width="14.7109375" style="1045" customWidth="1"/>
    <col min="12998" max="13246" width="9.140625" style="1045"/>
    <col min="13247" max="13247" width="4.42578125" style="1045" customWidth="1"/>
    <col min="13248" max="13248" width="7.5703125" style="1045" customWidth="1"/>
    <col min="13249" max="13249" width="47.42578125" style="1045" customWidth="1"/>
    <col min="13250" max="13250" width="14.85546875" style="1045" customWidth="1"/>
    <col min="13251" max="13251" width="14" style="1045" customWidth="1"/>
    <col min="13252" max="13252" width="14.140625" style="1045" customWidth="1"/>
    <col min="13253" max="13253" width="14.7109375" style="1045" customWidth="1"/>
    <col min="13254" max="13502" width="9.140625" style="1045"/>
    <col min="13503" max="13503" width="4.42578125" style="1045" customWidth="1"/>
    <col min="13504" max="13504" width="7.5703125" style="1045" customWidth="1"/>
    <col min="13505" max="13505" width="47.42578125" style="1045" customWidth="1"/>
    <col min="13506" max="13506" width="14.85546875" style="1045" customWidth="1"/>
    <col min="13507" max="13507" width="14" style="1045" customWidth="1"/>
    <col min="13508" max="13508" width="14.140625" style="1045" customWidth="1"/>
    <col min="13509" max="13509" width="14.7109375" style="1045" customWidth="1"/>
    <col min="13510" max="13758" width="9.140625" style="1045"/>
    <col min="13759" max="13759" width="4.42578125" style="1045" customWidth="1"/>
    <col min="13760" max="13760" width="7.5703125" style="1045" customWidth="1"/>
    <col min="13761" max="13761" width="47.42578125" style="1045" customWidth="1"/>
    <col min="13762" max="13762" width="14.85546875" style="1045" customWidth="1"/>
    <col min="13763" max="13763" width="14" style="1045" customWidth="1"/>
    <col min="13764" max="13764" width="14.140625" style="1045" customWidth="1"/>
    <col min="13765" max="13765" width="14.7109375" style="1045" customWidth="1"/>
    <col min="13766" max="14014" width="9.140625" style="1045"/>
    <col min="14015" max="14015" width="4.42578125" style="1045" customWidth="1"/>
    <col min="14016" max="14016" width="7.5703125" style="1045" customWidth="1"/>
    <col min="14017" max="14017" width="47.42578125" style="1045" customWidth="1"/>
    <col min="14018" max="14018" width="14.85546875" style="1045" customWidth="1"/>
    <col min="14019" max="14019" width="14" style="1045" customWidth="1"/>
    <col min="14020" max="14020" width="14.140625" style="1045" customWidth="1"/>
    <col min="14021" max="14021" width="14.7109375" style="1045" customWidth="1"/>
    <col min="14022" max="14270" width="9.140625" style="1045"/>
    <col min="14271" max="14271" width="4.42578125" style="1045" customWidth="1"/>
    <col min="14272" max="14272" width="7.5703125" style="1045" customWidth="1"/>
    <col min="14273" max="14273" width="47.42578125" style="1045" customWidth="1"/>
    <col min="14274" max="14274" width="14.85546875" style="1045" customWidth="1"/>
    <col min="14275" max="14275" width="14" style="1045" customWidth="1"/>
    <col min="14276" max="14276" width="14.140625" style="1045" customWidth="1"/>
    <col min="14277" max="14277" width="14.7109375" style="1045" customWidth="1"/>
    <col min="14278" max="14526" width="9.140625" style="1045"/>
    <col min="14527" max="14527" width="4.42578125" style="1045" customWidth="1"/>
    <col min="14528" max="14528" width="7.5703125" style="1045" customWidth="1"/>
    <col min="14529" max="14529" width="47.42578125" style="1045" customWidth="1"/>
    <col min="14530" max="14530" width="14.85546875" style="1045" customWidth="1"/>
    <col min="14531" max="14531" width="14" style="1045" customWidth="1"/>
    <col min="14532" max="14532" width="14.140625" style="1045" customWidth="1"/>
    <col min="14533" max="14533" width="14.7109375" style="1045" customWidth="1"/>
    <col min="14534" max="14782" width="9.140625" style="1045"/>
    <col min="14783" max="14783" width="4.42578125" style="1045" customWidth="1"/>
    <col min="14784" max="14784" width="7.5703125" style="1045" customWidth="1"/>
    <col min="14785" max="14785" width="47.42578125" style="1045" customWidth="1"/>
    <col min="14786" max="14786" width="14.85546875" style="1045" customWidth="1"/>
    <col min="14787" max="14787" width="14" style="1045" customWidth="1"/>
    <col min="14788" max="14788" width="14.140625" style="1045" customWidth="1"/>
    <col min="14789" max="14789" width="14.7109375" style="1045" customWidth="1"/>
    <col min="14790" max="15038" width="9.140625" style="1045"/>
    <col min="15039" max="15039" width="4.42578125" style="1045" customWidth="1"/>
    <col min="15040" max="15040" width="7.5703125" style="1045" customWidth="1"/>
    <col min="15041" max="15041" width="47.42578125" style="1045" customWidth="1"/>
    <col min="15042" max="15042" width="14.85546875" style="1045" customWidth="1"/>
    <col min="15043" max="15043" width="14" style="1045" customWidth="1"/>
    <col min="15044" max="15044" width="14.140625" style="1045" customWidth="1"/>
    <col min="15045" max="15045" width="14.7109375" style="1045" customWidth="1"/>
    <col min="15046" max="15294" width="9.140625" style="1045"/>
    <col min="15295" max="15295" width="4.42578125" style="1045" customWidth="1"/>
    <col min="15296" max="15296" width="7.5703125" style="1045" customWidth="1"/>
    <col min="15297" max="15297" width="47.42578125" style="1045" customWidth="1"/>
    <col min="15298" max="15298" width="14.85546875" style="1045" customWidth="1"/>
    <col min="15299" max="15299" width="14" style="1045" customWidth="1"/>
    <col min="15300" max="15300" width="14.140625" style="1045" customWidth="1"/>
    <col min="15301" max="15301" width="14.7109375" style="1045" customWidth="1"/>
    <col min="15302" max="15550" width="9.140625" style="1045"/>
    <col min="15551" max="15551" width="4.42578125" style="1045" customWidth="1"/>
    <col min="15552" max="15552" width="7.5703125" style="1045" customWidth="1"/>
    <col min="15553" max="15553" width="47.42578125" style="1045" customWidth="1"/>
    <col min="15554" max="15554" width="14.85546875" style="1045" customWidth="1"/>
    <col min="15555" max="15555" width="14" style="1045" customWidth="1"/>
    <col min="15556" max="15556" width="14.140625" style="1045" customWidth="1"/>
    <col min="15557" max="15557" width="14.7109375" style="1045" customWidth="1"/>
    <col min="15558" max="15806" width="9.140625" style="1045"/>
    <col min="15807" max="15807" width="4.42578125" style="1045" customWidth="1"/>
    <col min="15808" max="15808" width="7.5703125" style="1045" customWidth="1"/>
    <col min="15809" max="15809" width="47.42578125" style="1045" customWidth="1"/>
    <col min="15810" max="15810" width="14.85546875" style="1045" customWidth="1"/>
    <col min="15811" max="15811" width="14" style="1045" customWidth="1"/>
    <col min="15812" max="15812" width="14.140625" style="1045" customWidth="1"/>
    <col min="15813" max="15813" width="14.7109375" style="1045" customWidth="1"/>
    <col min="15814" max="16062" width="9.140625" style="1045"/>
    <col min="16063" max="16063" width="4.42578125" style="1045" customWidth="1"/>
    <col min="16064" max="16064" width="7.5703125" style="1045" customWidth="1"/>
    <col min="16065" max="16065" width="47.42578125" style="1045" customWidth="1"/>
    <col min="16066" max="16066" width="14.85546875" style="1045" customWidth="1"/>
    <col min="16067" max="16067" width="14" style="1045" customWidth="1"/>
    <col min="16068" max="16068" width="14.140625" style="1045" customWidth="1"/>
    <col min="16069" max="16069" width="14.7109375" style="1045" customWidth="1"/>
    <col min="16070" max="16384" width="9.140625" style="1045"/>
  </cols>
  <sheetData>
    <row r="2" spans="1:8" s="1080" customFormat="1" ht="12" x14ac:dyDescent="0.2">
      <c r="F2" s="1046"/>
      <c r="G2" s="1046" t="s">
        <v>1297</v>
      </c>
      <c r="H2" s="1081"/>
    </row>
    <row r="3" spans="1:8" s="1080" customFormat="1" ht="12" x14ac:dyDescent="0.2">
      <c r="F3" s="1047"/>
      <c r="G3" s="1047" t="s">
        <v>80</v>
      </c>
      <c r="H3" s="1082"/>
    </row>
    <row r="4" spans="1:8" s="1080" customFormat="1" ht="12" x14ac:dyDescent="0.2">
      <c r="F4" s="1047"/>
      <c r="G4" s="1047" t="s">
        <v>81</v>
      </c>
      <c r="H4" s="1082"/>
    </row>
    <row r="5" spans="1:8" s="1080" customFormat="1" ht="12" x14ac:dyDescent="0.2">
      <c r="F5" s="1047"/>
      <c r="G5" s="1047" t="s">
        <v>82</v>
      </c>
      <c r="H5" s="1082"/>
    </row>
    <row r="6" spans="1:8" x14ac:dyDescent="0.25">
      <c r="F6" s="1047"/>
      <c r="G6" s="1047"/>
    </row>
    <row r="7" spans="1:8" x14ac:dyDescent="0.25">
      <c r="A7" s="1183" t="s">
        <v>1298</v>
      </c>
      <c r="B7" s="1183"/>
      <c r="C7" s="1183"/>
      <c r="D7" s="1183"/>
      <c r="E7" s="1183"/>
      <c r="F7" s="1183"/>
      <c r="G7" s="1183"/>
      <c r="H7" s="1183"/>
    </row>
    <row r="8" spans="1:8" s="1048" customFormat="1" ht="12.75" x14ac:dyDescent="0.2">
      <c r="A8" s="1049" t="s">
        <v>1299</v>
      </c>
      <c r="B8" s="1049"/>
      <c r="C8" s="1049"/>
      <c r="D8" s="1049"/>
      <c r="E8" s="1049"/>
      <c r="F8" s="1049"/>
      <c r="G8" s="1049"/>
      <c r="H8" s="1049"/>
    </row>
    <row r="9" spans="1:8" s="1048" customFormat="1" ht="12.75" x14ac:dyDescent="0.2">
      <c r="A9" s="1049"/>
      <c r="B9" s="1049"/>
      <c r="C9" s="1049"/>
      <c r="D9" s="1049"/>
      <c r="E9" s="1049"/>
      <c r="F9" s="1049"/>
      <c r="G9" s="1049"/>
      <c r="H9" s="1049"/>
    </row>
    <row r="10" spans="1:8" s="1048" customFormat="1" ht="12.75" x14ac:dyDescent="0.2">
      <c r="A10" s="1049"/>
      <c r="B10" s="1049"/>
      <c r="C10" s="1049"/>
      <c r="D10" s="1049"/>
      <c r="E10" s="1049"/>
      <c r="F10" s="1049"/>
      <c r="G10" s="1049"/>
      <c r="H10" s="1049"/>
    </row>
    <row r="11" spans="1:8" x14ac:dyDescent="0.25">
      <c r="A11" s="1050"/>
      <c r="B11" s="1050"/>
      <c r="C11" s="1050"/>
      <c r="D11" s="1050"/>
      <c r="E11" s="1050"/>
      <c r="F11" s="1050"/>
      <c r="G11" s="1050"/>
      <c r="H11" s="1052" t="s">
        <v>2</v>
      </c>
    </row>
    <row r="12" spans="1:8" ht="15" customHeight="1" x14ac:dyDescent="0.25">
      <c r="A12" s="1083"/>
      <c r="B12" s="1191" t="s">
        <v>1286</v>
      </c>
      <c r="C12" s="1194" t="s">
        <v>1300</v>
      </c>
      <c r="D12" s="1197" t="s">
        <v>1301</v>
      </c>
      <c r="E12" s="1198"/>
      <c r="F12" s="1084"/>
      <c r="G12" s="1084"/>
      <c r="H12" s="1194" t="s">
        <v>1302</v>
      </c>
    </row>
    <row r="13" spans="1:8" ht="15" customHeight="1" x14ac:dyDescent="0.25">
      <c r="A13" s="1085" t="s">
        <v>6</v>
      </c>
      <c r="B13" s="1192"/>
      <c r="C13" s="1195"/>
      <c r="D13" s="1087"/>
      <c r="E13" s="1087"/>
      <c r="F13" s="1195" t="s">
        <v>1303</v>
      </c>
      <c r="G13" s="1087"/>
      <c r="H13" s="1195"/>
    </row>
    <row r="14" spans="1:8" ht="25.5" x14ac:dyDescent="0.25">
      <c r="A14" s="1086" t="s">
        <v>86</v>
      </c>
      <c r="B14" s="1192"/>
      <c r="C14" s="1195"/>
      <c r="D14" s="1087" t="s">
        <v>1304</v>
      </c>
      <c r="E14" s="1087" t="s">
        <v>1305</v>
      </c>
      <c r="F14" s="1195"/>
      <c r="G14" s="1087" t="s">
        <v>1306</v>
      </c>
      <c r="H14" s="1195"/>
    </row>
    <row r="15" spans="1:8" x14ac:dyDescent="0.25">
      <c r="A15" s="1085"/>
      <c r="B15" s="1193"/>
      <c r="C15" s="1196"/>
      <c r="D15" s="1088"/>
      <c r="E15" s="1088"/>
      <c r="F15" s="1196"/>
      <c r="G15" s="1088"/>
      <c r="H15" s="1196"/>
    </row>
    <row r="16" spans="1:8" x14ac:dyDescent="0.25">
      <c r="A16" s="1058">
        <v>1</v>
      </c>
      <c r="B16" s="1058">
        <v>2</v>
      </c>
      <c r="C16" s="1058">
        <v>3</v>
      </c>
      <c r="D16" s="1058">
        <v>4</v>
      </c>
      <c r="E16" s="1058">
        <v>5</v>
      </c>
      <c r="F16" s="1058">
        <v>6</v>
      </c>
      <c r="G16" s="1058">
        <v>7</v>
      </c>
      <c r="H16" s="1058">
        <v>8</v>
      </c>
    </row>
    <row r="17" spans="1:8" x14ac:dyDescent="0.25">
      <c r="A17" s="1070">
        <v>853</v>
      </c>
      <c r="B17" s="1073"/>
      <c r="C17" s="1357"/>
      <c r="D17" s="1357"/>
      <c r="E17" s="1357"/>
      <c r="F17" s="1357"/>
      <c r="G17" s="1357"/>
      <c r="H17" s="1357"/>
    </row>
    <row r="18" spans="1:8" ht="15.75" customHeight="1" x14ac:dyDescent="0.25">
      <c r="A18" s="1089">
        <v>85395</v>
      </c>
      <c r="B18" s="1090" t="s">
        <v>96</v>
      </c>
      <c r="C18" s="1091">
        <v>520000</v>
      </c>
      <c r="D18" s="1091">
        <v>7164180</v>
      </c>
      <c r="E18" s="1091">
        <v>1186180</v>
      </c>
      <c r="F18" s="1091">
        <v>7164180</v>
      </c>
      <c r="G18" s="1091">
        <v>0</v>
      </c>
      <c r="H18" s="1091">
        <v>520000</v>
      </c>
    </row>
    <row r="19" spans="1:8" ht="14.25" customHeight="1" x14ac:dyDescent="0.25">
      <c r="A19" s="1089"/>
      <c r="B19" s="1090" t="s">
        <v>1307</v>
      </c>
      <c r="C19" s="1091"/>
      <c r="D19" s="1091"/>
      <c r="E19" s="1091"/>
      <c r="F19" s="1091"/>
      <c r="G19" s="1091"/>
      <c r="H19" s="1091"/>
    </row>
    <row r="20" spans="1:8" ht="12.75" customHeight="1" x14ac:dyDescent="0.25">
      <c r="A20" s="1092"/>
      <c r="B20" s="1093" t="s">
        <v>1308</v>
      </c>
      <c r="C20" s="1094"/>
      <c r="D20" s="1094"/>
      <c r="E20" s="1094"/>
      <c r="F20" s="1094"/>
      <c r="G20" s="1094"/>
      <c r="H20" s="1094"/>
    </row>
  </sheetData>
  <mergeCells count="6">
    <mergeCell ref="A7:H7"/>
    <mergeCell ref="B12:B15"/>
    <mergeCell ref="C12:C15"/>
    <mergeCell ref="D12:E12"/>
    <mergeCell ref="H12:H15"/>
    <mergeCell ref="F13:F15"/>
  </mergeCells>
  <pageMargins left="0.19685039370078741" right="0.19685039370078741" top="0.55118110236220474" bottom="0.55118110236220474" header="0.31496062992125984" footer="0.31496062992125984"/>
  <pageSetup paperSize="9" firstPageNumber="71" orientation="landscape" horizontalDpi="1200" verticalDpi="12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283A58-6CD6-48FA-B377-BA54EAFE698C}">
  <dimension ref="A1:H26"/>
  <sheetViews>
    <sheetView topLeftCell="A5" zoomScale="130" zoomScaleNormal="130" workbookViewId="0">
      <selection activeCell="A13" sqref="A13:E24"/>
    </sheetView>
  </sheetViews>
  <sheetFormatPr defaultRowHeight="12.75" x14ac:dyDescent="0.2"/>
  <cols>
    <col min="1" max="1" width="3.7109375" style="808" customWidth="1"/>
    <col min="2" max="2" width="6.28515625" style="808" customWidth="1"/>
    <col min="3" max="3" width="8.28515625" style="808" customWidth="1"/>
    <col min="4" max="4" width="47.28515625" style="808" customWidth="1"/>
    <col min="5" max="5" width="23.28515625" style="808" customWidth="1"/>
    <col min="6" max="6" width="9.42578125" style="808" bestFit="1" customWidth="1"/>
    <col min="7" max="256" width="9.140625" style="808"/>
    <col min="257" max="257" width="3.7109375" style="808" customWidth="1"/>
    <col min="258" max="258" width="6.28515625" style="808" customWidth="1"/>
    <col min="259" max="259" width="8.28515625" style="808" customWidth="1"/>
    <col min="260" max="260" width="47.28515625" style="808" customWidth="1"/>
    <col min="261" max="261" width="21.5703125" style="808" customWidth="1"/>
    <col min="262" max="262" width="9.42578125" style="808" bestFit="1" customWidth="1"/>
    <col min="263" max="512" width="9.140625" style="808"/>
    <col min="513" max="513" width="3.7109375" style="808" customWidth="1"/>
    <col min="514" max="514" width="6.28515625" style="808" customWidth="1"/>
    <col min="515" max="515" width="8.28515625" style="808" customWidth="1"/>
    <col min="516" max="516" width="47.28515625" style="808" customWidth="1"/>
    <col min="517" max="517" width="21.5703125" style="808" customWidth="1"/>
    <col min="518" max="518" width="9.42578125" style="808" bestFit="1" customWidth="1"/>
    <col min="519" max="768" width="9.140625" style="808"/>
    <col min="769" max="769" width="3.7109375" style="808" customWidth="1"/>
    <col min="770" max="770" width="6.28515625" style="808" customWidth="1"/>
    <col min="771" max="771" width="8.28515625" style="808" customWidth="1"/>
    <col min="772" max="772" width="47.28515625" style="808" customWidth="1"/>
    <col min="773" max="773" width="21.5703125" style="808" customWidth="1"/>
    <col min="774" max="774" width="9.42578125" style="808" bestFit="1" customWidth="1"/>
    <col min="775" max="1024" width="9.140625" style="808"/>
    <col min="1025" max="1025" width="3.7109375" style="808" customWidth="1"/>
    <col min="1026" max="1026" width="6.28515625" style="808" customWidth="1"/>
    <col min="1027" max="1027" width="8.28515625" style="808" customWidth="1"/>
    <col min="1028" max="1028" width="47.28515625" style="808" customWidth="1"/>
    <col min="1029" max="1029" width="21.5703125" style="808" customWidth="1"/>
    <col min="1030" max="1030" width="9.42578125" style="808" bestFit="1" customWidth="1"/>
    <col min="1031" max="1280" width="9.140625" style="808"/>
    <col min="1281" max="1281" width="3.7109375" style="808" customWidth="1"/>
    <col min="1282" max="1282" width="6.28515625" style="808" customWidth="1"/>
    <col min="1283" max="1283" width="8.28515625" style="808" customWidth="1"/>
    <col min="1284" max="1284" width="47.28515625" style="808" customWidth="1"/>
    <col min="1285" max="1285" width="21.5703125" style="808" customWidth="1"/>
    <col min="1286" max="1286" width="9.42578125" style="808" bestFit="1" customWidth="1"/>
    <col min="1287" max="1536" width="9.140625" style="808"/>
    <col min="1537" max="1537" width="3.7109375" style="808" customWidth="1"/>
    <col min="1538" max="1538" width="6.28515625" style="808" customWidth="1"/>
    <col min="1539" max="1539" width="8.28515625" style="808" customWidth="1"/>
    <col min="1540" max="1540" width="47.28515625" style="808" customWidth="1"/>
    <col min="1541" max="1541" width="21.5703125" style="808" customWidth="1"/>
    <col min="1542" max="1542" width="9.42578125" style="808" bestFit="1" customWidth="1"/>
    <col min="1543" max="1792" width="9.140625" style="808"/>
    <col min="1793" max="1793" width="3.7109375" style="808" customWidth="1"/>
    <col min="1794" max="1794" width="6.28515625" style="808" customWidth="1"/>
    <col min="1795" max="1795" width="8.28515625" style="808" customWidth="1"/>
    <col min="1796" max="1796" width="47.28515625" style="808" customWidth="1"/>
    <col min="1797" max="1797" width="21.5703125" style="808" customWidth="1"/>
    <col min="1798" max="1798" width="9.42578125" style="808" bestFit="1" customWidth="1"/>
    <col min="1799" max="2048" width="9.140625" style="808"/>
    <col min="2049" max="2049" width="3.7109375" style="808" customWidth="1"/>
    <col min="2050" max="2050" width="6.28515625" style="808" customWidth="1"/>
    <col min="2051" max="2051" width="8.28515625" style="808" customWidth="1"/>
    <col min="2052" max="2052" width="47.28515625" style="808" customWidth="1"/>
    <col min="2053" max="2053" width="21.5703125" style="808" customWidth="1"/>
    <col min="2054" max="2054" width="9.42578125" style="808" bestFit="1" customWidth="1"/>
    <col min="2055" max="2304" width="9.140625" style="808"/>
    <col min="2305" max="2305" width="3.7109375" style="808" customWidth="1"/>
    <col min="2306" max="2306" width="6.28515625" style="808" customWidth="1"/>
    <col min="2307" max="2307" width="8.28515625" style="808" customWidth="1"/>
    <col min="2308" max="2308" width="47.28515625" style="808" customWidth="1"/>
    <col min="2309" max="2309" width="21.5703125" style="808" customWidth="1"/>
    <col min="2310" max="2310" width="9.42578125" style="808" bestFit="1" customWidth="1"/>
    <col min="2311" max="2560" width="9.140625" style="808"/>
    <col min="2561" max="2561" width="3.7109375" style="808" customWidth="1"/>
    <col min="2562" max="2562" width="6.28515625" style="808" customWidth="1"/>
    <col min="2563" max="2563" width="8.28515625" style="808" customWidth="1"/>
    <col min="2564" max="2564" width="47.28515625" style="808" customWidth="1"/>
    <col min="2565" max="2565" width="21.5703125" style="808" customWidth="1"/>
    <col min="2566" max="2566" width="9.42578125" style="808" bestFit="1" customWidth="1"/>
    <col min="2567" max="2816" width="9.140625" style="808"/>
    <col min="2817" max="2817" width="3.7109375" style="808" customWidth="1"/>
    <col min="2818" max="2818" width="6.28515625" style="808" customWidth="1"/>
    <col min="2819" max="2819" width="8.28515625" style="808" customWidth="1"/>
    <col min="2820" max="2820" width="47.28515625" style="808" customWidth="1"/>
    <col min="2821" max="2821" width="21.5703125" style="808" customWidth="1"/>
    <col min="2822" max="2822" width="9.42578125" style="808" bestFit="1" customWidth="1"/>
    <col min="2823" max="3072" width="9.140625" style="808"/>
    <col min="3073" max="3073" width="3.7109375" style="808" customWidth="1"/>
    <col min="3074" max="3074" width="6.28515625" style="808" customWidth="1"/>
    <col min="3075" max="3075" width="8.28515625" style="808" customWidth="1"/>
    <col min="3076" max="3076" width="47.28515625" style="808" customWidth="1"/>
    <col min="3077" max="3077" width="21.5703125" style="808" customWidth="1"/>
    <col min="3078" max="3078" width="9.42578125" style="808" bestFit="1" customWidth="1"/>
    <col min="3079" max="3328" width="9.140625" style="808"/>
    <col min="3329" max="3329" width="3.7109375" style="808" customWidth="1"/>
    <col min="3330" max="3330" width="6.28515625" style="808" customWidth="1"/>
    <col min="3331" max="3331" width="8.28515625" style="808" customWidth="1"/>
    <col min="3332" max="3332" width="47.28515625" style="808" customWidth="1"/>
    <col min="3333" max="3333" width="21.5703125" style="808" customWidth="1"/>
    <col min="3334" max="3334" width="9.42578125" style="808" bestFit="1" customWidth="1"/>
    <col min="3335" max="3584" width="9.140625" style="808"/>
    <col min="3585" max="3585" width="3.7109375" style="808" customWidth="1"/>
    <col min="3586" max="3586" width="6.28515625" style="808" customWidth="1"/>
    <col min="3587" max="3587" width="8.28515625" style="808" customWidth="1"/>
    <col min="3588" max="3588" width="47.28515625" style="808" customWidth="1"/>
    <col min="3589" max="3589" width="21.5703125" style="808" customWidth="1"/>
    <col min="3590" max="3590" width="9.42578125" style="808" bestFit="1" customWidth="1"/>
    <col min="3591" max="3840" width="9.140625" style="808"/>
    <col min="3841" max="3841" width="3.7109375" style="808" customWidth="1"/>
    <col min="3842" max="3842" width="6.28515625" style="808" customWidth="1"/>
    <col min="3843" max="3843" width="8.28515625" style="808" customWidth="1"/>
    <col min="3844" max="3844" width="47.28515625" style="808" customWidth="1"/>
    <col min="3845" max="3845" width="21.5703125" style="808" customWidth="1"/>
    <col min="3846" max="3846" width="9.42578125" style="808" bestFit="1" customWidth="1"/>
    <col min="3847" max="4096" width="9.140625" style="808"/>
    <col min="4097" max="4097" width="3.7109375" style="808" customWidth="1"/>
    <col min="4098" max="4098" width="6.28515625" style="808" customWidth="1"/>
    <col min="4099" max="4099" width="8.28515625" style="808" customWidth="1"/>
    <col min="4100" max="4100" width="47.28515625" style="808" customWidth="1"/>
    <col min="4101" max="4101" width="21.5703125" style="808" customWidth="1"/>
    <col min="4102" max="4102" width="9.42578125" style="808" bestFit="1" customWidth="1"/>
    <col min="4103" max="4352" width="9.140625" style="808"/>
    <col min="4353" max="4353" width="3.7109375" style="808" customWidth="1"/>
    <col min="4354" max="4354" width="6.28515625" style="808" customWidth="1"/>
    <col min="4355" max="4355" width="8.28515625" style="808" customWidth="1"/>
    <col min="4356" max="4356" width="47.28515625" style="808" customWidth="1"/>
    <col min="4357" max="4357" width="21.5703125" style="808" customWidth="1"/>
    <col min="4358" max="4358" width="9.42578125" style="808" bestFit="1" customWidth="1"/>
    <col min="4359" max="4608" width="9.140625" style="808"/>
    <col min="4609" max="4609" width="3.7109375" style="808" customWidth="1"/>
    <col min="4610" max="4610" width="6.28515625" style="808" customWidth="1"/>
    <col min="4611" max="4611" width="8.28515625" style="808" customWidth="1"/>
    <col min="4612" max="4612" width="47.28515625" style="808" customWidth="1"/>
    <col min="4613" max="4613" width="21.5703125" style="808" customWidth="1"/>
    <col min="4614" max="4614" width="9.42578125" style="808" bestFit="1" customWidth="1"/>
    <col min="4615" max="4864" width="9.140625" style="808"/>
    <col min="4865" max="4865" width="3.7109375" style="808" customWidth="1"/>
    <col min="4866" max="4866" width="6.28515625" style="808" customWidth="1"/>
    <col min="4867" max="4867" width="8.28515625" style="808" customWidth="1"/>
    <col min="4868" max="4868" width="47.28515625" style="808" customWidth="1"/>
    <col min="4869" max="4869" width="21.5703125" style="808" customWidth="1"/>
    <col min="4870" max="4870" width="9.42578125" style="808" bestFit="1" customWidth="1"/>
    <col min="4871" max="5120" width="9.140625" style="808"/>
    <col min="5121" max="5121" width="3.7109375" style="808" customWidth="1"/>
    <col min="5122" max="5122" width="6.28515625" style="808" customWidth="1"/>
    <col min="5123" max="5123" width="8.28515625" style="808" customWidth="1"/>
    <col min="5124" max="5124" width="47.28515625" style="808" customWidth="1"/>
    <col min="5125" max="5125" width="21.5703125" style="808" customWidth="1"/>
    <col min="5126" max="5126" width="9.42578125" style="808" bestFit="1" customWidth="1"/>
    <col min="5127" max="5376" width="9.140625" style="808"/>
    <col min="5377" max="5377" width="3.7109375" style="808" customWidth="1"/>
    <col min="5378" max="5378" width="6.28515625" style="808" customWidth="1"/>
    <col min="5379" max="5379" width="8.28515625" style="808" customWidth="1"/>
    <col min="5380" max="5380" width="47.28515625" style="808" customWidth="1"/>
    <col min="5381" max="5381" width="21.5703125" style="808" customWidth="1"/>
    <col min="5382" max="5382" width="9.42578125" style="808" bestFit="1" customWidth="1"/>
    <col min="5383" max="5632" width="9.140625" style="808"/>
    <col min="5633" max="5633" width="3.7109375" style="808" customWidth="1"/>
    <col min="5634" max="5634" width="6.28515625" style="808" customWidth="1"/>
    <col min="5635" max="5635" width="8.28515625" style="808" customWidth="1"/>
    <col min="5636" max="5636" width="47.28515625" style="808" customWidth="1"/>
    <col min="5637" max="5637" width="21.5703125" style="808" customWidth="1"/>
    <col min="5638" max="5638" width="9.42578125" style="808" bestFit="1" customWidth="1"/>
    <col min="5639" max="5888" width="9.140625" style="808"/>
    <col min="5889" max="5889" width="3.7109375" style="808" customWidth="1"/>
    <col min="5890" max="5890" width="6.28515625" style="808" customWidth="1"/>
    <col min="5891" max="5891" width="8.28515625" style="808" customWidth="1"/>
    <col min="5892" max="5892" width="47.28515625" style="808" customWidth="1"/>
    <col min="5893" max="5893" width="21.5703125" style="808" customWidth="1"/>
    <col min="5894" max="5894" width="9.42578125" style="808" bestFit="1" customWidth="1"/>
    <col min="5895" max="6144" width="9.140625" style="808"/>
    <col min="6145" max="6145" width="3.7109375" style="808" customWidth="1"/>
    <col min="6146" max="6146" width="6.28515625" style="808" customWidth="1"/>
    <col min="6147" max="6147" width="8.28515625" style="808" customWidth="1"/>
    <col min="6148" max="6148" width="47.28515625" style="808" customWidth="1"/>
    <col min="6149" max="6149" width="21.5703125" style="808" customWidth="1"/>
    <col min="6150" max="6150" width="9.42578125" style="808" bestFit="1" customWidth="1"/>
    <col min="6151" max="6400" width="9.140625" style="808"/>
    <col min="6401" max="6401" width="3.7109375" style="808" customWidth="1"/>
    <col min="6402" max="6402" width="6.28515625" style="808" customWidth="1"/>
    <col min="6403" max="6403" width="8.28515625" style="808" customWidth="1"/>
    <col min="6404" max="6404" width="47.28515625" style="808" customWidth="1"/>
    <col min="6405" max="6405" width="21.5703125" style="808" customWidth="1"/>
    <col min="6406" max="6406" width="9.42578125" style="808" bestFit="1" customWidth="1"/>
    <col min="6407" max="6656" width="9.140625" style="808"/>
    <col min="6657" max="6657" width="3.7109375" style="808" customWidth="1"/>
    <col min="6658" max="6658" width="6.28515625" style="808" customWidth="1"/>
    <col min="6659" max="6659" width="8.28515625" style="808" customWidth="1"/>
    <col min="6660" max="6660" width="47.28515625" style="808" customWidth="1"/>
    <col min="6661" max="6661" width="21.5703125" style="808" customWidth="1"/>
    <col min="6662" max="6662" width="9.42578125" style="808" bestFit="1" customWidth="1"/>
    <col min="6663" max="6912" width="9.140625" style="808"/>
    <col min="6913" max="6913" width="3.7109375" style="808" customWidth="1"/>
    <col min="6914" max="6914" width="6.28515625" style="808" customWidth="1"/>
    <col min="6915" max="6915" width="8.28515625" style="808" customWidth="1"/>
    <col min="6916" max="6916" width="47.28515625" style="808" customWidth="1"/>
    <col min="6917" max="6917" width="21.5703125" style="808" customWidth="1"/>
    <col min="6918" max="6918" width="9.42578125" style="808" bestFit="1" customWidth="1"/>
    <col min="6919" max="7168" width="9.140625" style="808"/>
    <col min="7169" max="7169" width="3.7109375" style="808" customWidth="1"/>
    <col min="7170" max="7170" width="6.28515625" style="808" customWidth="1"/>
    <col min="7171" max="7171" width="8.28515625" style="808" customWidth="1"/>
    <col min="7172" max="7172" width="47.28515625" style="808" customWidth="1"/>
    <col min="7173" max="7173" width="21.5703125" style="808" customWidth="1"/>
    <col min="7174" max="7174" width="9.42578125" style="808" bestFit="1" customWidth="1"/>
    <col min="7175" max="7424" width="9.140625" style="808"/>
    <col min="7425" max="7425" width="3.7109375" style="808" customWidth="1"/>
    <col min="7426" max="7426" width="6.28515625" style="808" customWidth="1"/>
    <col min="7427" max="7427" width="8.28515625" style="808" customWidth="1"/>
    <col min="7428" max="7428" width="47.28515625" style="808" customWidth="1"/>
    <col min="7429" max="7429" width="21.5703125" style="808" customWidth="1"/>
    <col min="7430" max="7430" width="9.42578125" style="808" bestFit="1" customWidth="1"/>
    <col min="7431" max="7680" width="9.140625" style="808"/>
    <col min="7681" max="7681" width="3.7109375" style="808" customWidth="1"/>
    <col min="7682" max="7682" width="6.28515625" style="808" customWidth="1"/>
    <col min="7683" max="7683" width="8.28515625" style="808" customWidth="1"/>
    <col min="7684" max="7684" width="47.28515625" style="808" customWidth="1"/>
    <col min="7685" max="7685" width="21.5703125" style="808" customWidth="1"/>
    <col min="7686" max="7686" width="9.42578125" style="808" bestFit="1" customWidth="1"/>
    <col min="7687" max="7936" width="9.140625" style="808"/>
    <col min="7937" max="7937" width="3.7109375" style="808" customWidth="1"/>
    <col min="7938" max="7938" width="6.28515625" style="808" customWidth="1"/>
    <col min="7939" max="7939" width="8.28515625" style="808" customWidth="1"/>
    <col min="7940" max="7940" width="47.28515625" style="808" customWidth="1"/>
    <col min="7941" max="7941" width="21.5703125" style="808" customWidth="1"/>
    <col min="7942" max="7942" width="9.42578125" style="808" bestFit="1" customWidth="1"/>
    <col min="7943" max="8192" width="9.140625" style="808"/>
    <col min="8193" max="8193" width="3.7109375" style="808" customWidth="1"/>
    <col min="8194" max="8194" width="6.28515625" style="808" customWidth="1"/>
    <col min="8195" max="8195" width="8.28515625" style="808" customWidth="1"/>
    <col min="8196" max="8196" width="47.28515625" style="808" customWidth="1"/>
    <col min="8197" max="8197" width="21.5703125" style="808" customWidth="1"/>
    <col min="8198" max="8198" width="9.42578125" style="808" bestFit="1" customWidth="1"/>
    <col min="8199" max="8448" width="9.140625" style="808"/>
    <col min="8449" max="8449" width="3.7109375" style="808" customWidth="1"/>
    <col min="8450" max="8450" width="6.28515625" style="808" customWidth="1"/>
    <col min="8451" max="8451" width="8.28515625" style="808" customWidth="1"/>
    <col min="8452" max="8452" width="47.28515625" style="808" customWidth="1"/>
    <col min="8453" max="8453" width="21.5703125" style="808" customWidth="1"/>
    <col min="8454" max="8454" width="9.42578125" style="808" bestFit="1" customWidth="1"/>
    <col min="8455" max="8704" width="9.140625" style="808"/>
    <col min="8705" max="8705" width="3.7109375" style="808" customWidth="1"/>
    <col min="8706" max="8706" width="6.28515625" style="808" customWidth="1"/>
    <col min="8707" max="8707" width="8.28515625" style="808" customWidth="1"/>
    <col min="8708" max="8708" width="47.28515625" style="808" customWidth="1"/>
    <col min="8709" max="8709" width="21.5703125" style="808" customWidth="1"/>
    <col min="8710" max="8710" width="9.42578125" style="808" bestFit="1" customWidth="1"/>
    <col min="8711" max="8960" width="9.140625" style="808"/>
    <col min="8961" max="8961" width="3.7109375" style="808" customWidth="1"/>
    <col min="8962" max="8962" width="6.28515625" style="808" customWidth="1"/>
    <col min="8963" max="8963" width="8.28515625" style="808" customWidth="1"/>
    <col min="8964" max="8964" width="47.28515625" style="808" customWidth="1"/>
    <col min="8965" max="8965" width="21.5703125" style="808" customWidth="1"/>
    <col min="8966" max="8966" width="9.42578125" style="808" bestFit="1" customWidth="1"/>
    <col min="8967" max="9216" width="9.140625" style="808"/>
    <col min="9217" max="9217" width="3.7109375" style="808" customWidth="1"/>
    <col min="9218" max="9218" width="6.28515625" style="808" customWidth="1"/>
    <col min="9219" max="9219" width="8.28515625" style="808" customWidth="1"/>
    <col min="9220" max="9220" width="47.28515625" style="808" customWidth="1"/>
    <col min="9221" max="9221" width="21.5703125" style="808" customWidth="1"/>
    <col min="9222" max="9222" width="9.42578125" style="808" bestFit="1" customWidth="1"/>
    <col min="9223" max="9472" width="9.140625" style="808"/>
    <col min="9473" max="9473" width="3.7109375" style="808" customWidth="1"/>
    <col min="9474" max="9474" width="6.28515625" style="808" customWidth="1"/>
    <col min="9475" max="9475" width="8.28515625" style="808" customWidth="1"/>
    <col min="9476" max="9476" width="47.28515625" style="808" customWidth="1"/>
    <col min="9477" max="9477" width="21.5703125" style="808" customWidth="1"/>
    <col min="9478" max="9478" width="9.42578125" style="808" bestFit="1" customWidth="1"/>
    <col min="9479" max="9728" width="9.140625" style="808"/>
    <col min="9729" max="9729" width="3.7109375" style="808" customWidth="1"/>
    <col min="9730" max="9730" width="6.28515625" style="808" customWidth="1"/>
    <col min="9731" max="9731" width="8.28515625" style="808" customWidth="1"/>
    <col min="9732" max="9732" width="47.28515625" style="808" customWidth="1"/>
    <col min="9733" max="9733" width="21.5703125" style="808" customWidth="1"/>
    <col min="9734" max="9734" width="9.42578125" style="808" bestFit="1" customWidth="1"/>
    <col min="9735" max="9984" width="9.140625" style="808"/>
    <col min="9985" max="9985" width="3.7109375" style="808" customWidth="1"/>
    <col min="9986" max="9986" width="6.28515625" style="808" customWidth="1"/>
    <col min="9987" max="9987" width="8.28515625" style="808" customWidth="1"/>
    <col min="9988" max="9988" width="47.28515625" style="808" customWidth="1"/>
    <col min="9989" max="9989" width="21.5703125" style="808" customWidth="1"/>
    <col min="9990" max="9990" width="9.42578125" style="808" bestFit="1" customWidth="1"/>
    <col min="9991" max="10240" width="9.140625" style="808"/>
    <col min="10241" max="10241" width="3.7109375" style="808" customWidth="1"/>
    <col min="10242" max="10242" width="6.28515625" style="808" customWidth="1"/>
    <col min="10243" max="10243" width="8.28515625" style="808" customWidth="1"/>
    <col min="10244" max="10244" width="47.28515625" style="808" customWidth="1"/>
    <col min="10245" max="10245" width="21.5703125" style="808" customWidth="1"/>
    <col min="10246" max="10246" width="9.42578125" style="808" bestFit="1" customWidth="1"/>
    <col min="10247" max="10496" width="9.140625" style="808"/>
    <col min="10497" max="10497" width="3.7109375" style="808" customWidth="1"/>
    <col min="10498" max="10498" width="6.28515625" style="808" customWidth="1"/>
    <col min="10499" max="10499" width="8.28515625" style="808" customWidth="1"/>
    <col min="10500" max="10500" width="47.28515625" style="808" customWidth="1"/>
    <col min="10501" max="10501" width="21.5703125" style="808" customWidth="1"/>
    <col min="10502" max="10502" width="9.42578125" style="808" bestFit="1" customWidth="1"/>
    <col min="10503" max="10752" width="9.140625" style="808"/>
    <col min="10753" max="10753" width="3.7109375" style="808" customWidth="1"/>
    <col min="10754" max="10754" width="6.28515625" style="808" customWidth="1"/>
    <col min="10755" max="10755" width="8.28515625" style="808" customWidth="1"/>
    <col min="10756" max="10756" width="47.28515625" style="808" customWidth="1"/>
    <col min="10757" max="10757" width="21.5703125" style="808" customWidth="1"/>
    <col min="10758" max="10758" width="9.42578125" style="808" bestFit="1" customWidth="1"/>
    <col min="10759" max="11008" width="9.140625" style="808"/>
    <col min="11009" max="11009" width="3.7109375" style="808" customWidth="1"/>
    <col min="11010" max="11010" width="6.28515625" style="808" customWidth="1"/>
    <col min="11011" max="11011" width="8.28515625" style="808" customWidth="1"/>
    <col min="11012" max="11012" width="47.28515625" style="808" customWidth="1"/>
    <col min="11013" max="11013" width="21.5703125" style="808" customWidth="1"/>
    <col min="11014" max="11014" width="9.42578125" style="808" bestFit="1" customWidth="1"/>
    <col min="11015" max="11264" width="9.140625" style="808"/>
    <col min="11265" max="11265" width="3.7109375" style="808" customWidth="1"/>
    <col min="11266" max="11266" width="6.28515625" style="808" customWidth="1"/>
    <col min="11267" max="11267" width="8.28515625" style="808" customWidth="1"/>
    <col min="11268" max="11268" width="47.28515625" style="808" customWidth="1"/>
    <col min="11269" max="11269" width="21.5703125" style="808" customWidth="1"/>
    <col min="11270" max="11270" width="9.42578125" style="808" bestFit="1" customWidth="1"/>
    <col min="11271" max="11520" width="9.140625" style="808"/>
    <col min="11521" max="11521" width="3.7109375" style="808" customWidth="1"/>
    <col min="11522" max="11522" width="6.28515625" style="808" customWidth="1"/>
    <col min="11523" max="11523" width="8.28515625" style="808" customWidth="1"/>
    <col min="11524" max="11524" width="47.28515625" style="808" customWidth="1"/>
    <col min="11525" max="11525" width="21.5703125" style="808" customWidth="1"/>
    <col min="11526" max="11526" width="9.42578125" style="808" bestFit="1" customWidth="1"/>
    <col min="11527" max="11776" width="9.140625" style="808"/>
    <col min="11777" max="11777" width="3.7109375" style="808" customWidth="1"/>
    <col min="11778" max="11778" width="6.28515625" style="808" customWidth="1"/>
    <col min="11779" max="11779" width="8.28515625" style="808" customWidth="1"/>
    <col min="11780" max="11780" width="47.28515625" style="808" customWidth="1"/>
    <col min="11781" max="11781" width="21.5703125" style="808" customWidth="1"/>
    <col min="11782" max="11782" width="9.42578125" style="808" bestFit="1" customWidth="1"/>
    <col min="11783" max="12032" width="9.140625" style="808"/>
    <col min="12033" max="12033" width="3.7109375" style="808" customWidth="1"/>
    <col min="12034" max="12034" width="6.28515625" style="808" customWidth="1"/>
    <col min="12035" max="12035" width="8.28515625" style="808" customWidth="1"/>
    <col min="12036" max="12036" width="47.28515625" style="808" customWidth="1"/>
    <col min="12037" max="12037" width="21.5703125" style="808" customWidth="1"/>
    <col min="12038" max="12038" width="9.42578125" style="808" bestFit="1" customWidth="1"/>
    <col min="12039" max="12288" width="9.140625" style="808"/>
    <col min="12289" max="12289" width="3.7109375" style="808" customWidth="1"/>
    <col min="12290" max="12290" width="6.28515625" style="808" customWidth="1"/>
    <col min="12291" max="12291" width="8.28515625" style="808" customWidth="1"/>
    <col min="12292" max="12292" width="47.28515625" style="808" customWidth="1"/>
    <col min="12293" max="12293" width="21.5703125" style="808" customWidth="1"/>
    <col min="12294" max="12294" width="9.42578125" style="808" bestFit="1" customWidth="1"/>
    <col min="12295" max="12544" width="9.140625" style="808"/>
    <col min="12545" max="12545" width="3.7109375" style="808" customWidth="1"/>
    <col min="12546" max="12546" width="6.28515625" style="808" customWidth="1"/>
    <col min="12547" max="12547" width="8.28515625" style="808" customWidth="1"/>
    <col min="12548" max="12548" width="47.28515625" style="808" customWidth="1"/>
    <col min="12549" max="12549" width="21.5703125" style="808" customWidth="1"/>
    <col min="12550" max="12550" width="9.42578125" style="808" bestFit="1" customWidth="1"/>
    <col min="12551" max="12800" width="9.140625" style="808"/>
    <col min="12801" max="12801" width="3.7109375" style="808" customWidth="1"/>
    <col min="12802" max="12802" width="6.28515625" style="808" customWidth="1"/>
    <col min="12803" max="12803" width="8.28515625" style="808" customWidth="1"/>
    <col min="12804" max="12804" width="47.28515625" style="808" customWidth="1"/>
    <col min="12805" max="12805" width="21.5703125" style="808" customWidth="1"/>
    <col min="12806" max="12806" width="9.42578125" style="808" bestFit="1" customWidth="1"/>
    <col min="12807" max="13056" width="9.140625" style="808"/>
    <col min="13057" max="13057" width="3.7109375" style="808" customWidth="1"/>
    <col min="13058" max="13058" width="6.28515625" style="808" customWidth="1"/>
    <col min="13059" max="13059" width="8.28515625" style="808" customWidth="1"/>
    <col min="13060" max="13060" width="47.28515625" style="808" customWidth="1"/>
    <col min="13061" max="13061" width="21.5703125" style="808" customWidth="1"/>
    <col min="13062" max="13062" width="9.42578125" style="808" bestFit="1" customWidth="1"/>
    <col min="13063" max="13312" width="9.140625" style="808"/>
    <col min="13313" max="13313" width="3.7109375" style="808" customWidth="1"/>
    <col min="13314" max="13314" width="6.28515625" style="808" customWidth="1"/>
    <col min="13315" max="13315" width="8.28515625" style="808" customWidth="1"/>
    <col min="13316" max="13316" width="47.28515625" style="808" customWidth="1"/>
    <col min="13317" max="13317" width="21.5703125" style="808" customWidth="1"/>
    <col min="13318" max="13318" width="9.42578125" style="808" bestFit="1" customWidth="1"/>
    <col min="13319" max="13568" width="9.140625" style="808"/>
    <col min="13569" max="13569" width="3.7109375" style="808" customWidth="1"/>
    <col min="13570" max="13570" width="6.28515625" style="808" customWidth="1"/>
    <col min="13571" max="13571" width="8.28515625" style="808" customWidth="1"/>
    <col min="13572" max="13572" width="47.28515625" style="808" customWidth="1"/>
    <col min="13573" max="13573" width="21.5703125" style="808" customWidth="1"/>
    <col min="13574" max="13574" width="9.42578125" style="808" bestFit="1" customWidth="1"/>
    <col min="13575" max="13824" width="9.140625" style="808"/>
    <col min="13825" max="13825" width="3.7109375" style="808" customWidth="1"/>
    <col min="13826" max="13826" width="6.28515625" style="808" customWidth="1"/>
    <col min="13827" max="13827" width="8.28515625" style="808" customWidth="1"/>
    <col min="13828" max="13828" width="47.28515625" style="808" customWidth="1"/>
    <col min="13829" max="13829" width="21.5703125" style="808" customWidth="1"/>
    <col min="13830" max="13830" width="9.42578125" style="808" bestFit="1" customWidth="1"/>
    <col min="13831" max="14080" width="9.140625" style="808"/>
    <col min="14081" max="14081" width="3.7109375" style="808" customWidth="1"/>
    <col min="14082" max="14082" width="6.28515625" style="808" customWidth="1"/>
    <col min="14083" max="14083" width="8.28515625" style="808" customWidth="1"/>
    <col min="14084" max="14084" width="47.28515625" style="808" customWidth="1"/>
    <col min="14085" max="14085" width="21.5703125" style="808" customWidth="1"/>
    <col min="14086" max="14086" width="9.42578125" style="808" bestFit="1" customWidth="1"/>
    <col min="14087" max="14336" width="9.140625" style="808"/>
    <col min="14337" max="14337" width="3.7109375" style="808" customWidth="1"/>
    <col min="14338" max="14338" width="6.28515625" style="808" customWidth="1"/>
    <col min="14339" max="14339" width="8.28515625" style="808" customWidth="1"/>
    <col min="14340" max="14340" width="47.28515625" style="808" customWidth="1"/>
    <col min="14341" max="14341" width="21.5703125" style="808" customWidth="1"/>
    <col min="14342" max="14342" width="9.42578125" style="808" bestFit="1" customWidth="1"/>
    <col min="14343" max="14592" width="9.140625" style="808"/>
    <col min="14593" max="14593" width="3.7109375" style="808" customWidth="1"/>
    <col min="14594" max="14594" width="6.28515625" style="808" customWidth="1"/>
    <col min="14595" max="14595" width="8.28515625" style="808" customWidth="1"/>
    <col min="14596" max="14596" width="47.28515625" style="808" customWidth="1"/>
    <col min="14597" max="14597" width="21.5703125" style="808" customWidth="1"/>
    <col min="14598" max="14598" width="9.42578125" style="808" bestFit="1" customWidth="1"/>
    <col min="14599" max="14848" width="9.140625" style="808"/>
    <col min="14849" max="14849" width="3.7109375" style="808" customWidth="1"/>
    <col min="14850" max="14850" width="6.28515625" style="808" customWidth="1"/>
    <col min="14851" max="14851" width="8.28515625" style="808" customWidth="1"/>
    <col min="14852" max="14852" width="47.28515625" style="808" customWidth="1"/>
    <col min="14853" max="14853" width="21.5703125" style="808" customWidth="1"/>
    <col min="14854" max="14854" width="9.42578125" style="808" bestFit="1" customWidth="1"/>
    <col min="14855" max="15104" width="9.140625" style="808"/>
    <col min="15105" max="15105" width="3.7109375" style="808" customWidth="1"/>
    <col min="15106" max="15106" width="6.28515625" style="808" customWidth="1"/>
    <col min="15107" max="15107" width="8.28515625" style="808" customWidth="1"/>
    <col min="15108" max="15108" width="47.28515625" style="808" customWidth="1"/>
    <col min="15109" max="15109" width="21.5703125" style="808" customWidth="1"/>
    <col min="15110" max="15110" width="9.42578125" style="808" bestFit="1" customWidth="1"/>
    <col min="15111" max="15360" width="9.140625" style="808"/>
    <col min="15361" max="15361" width="3.7109375" style="808" customWidth="1"/>
    <col min="15362" max="15362" width="6.28515625" style="808" customWidth="1"/>
    <col min="15363" max="15363" width="8.28515625" style="808" customWidth="1"/>
    <col min="15364" max="15364" width="47.28515625" style="808" customWidth="1"/>
    <col min="15365" max="15365" width="21.5703125" style="808" customWidth="1"/>
    <col min="15366" max="15366" width="9.42578125" style="808" bestFit="1" customWidth="1"/>
    <col min="15367" max="15616" width="9.140625" style="808"/>
    <col min="15617" max="15617" width="3.7109375" style="808" customWidth="1"/>
    <col min="15618" max="15618" width="6.28515625" style="808" customWidth="1"/>
    <col min="15619" max="15619" width="8.28515625" style="808" customWidth="1"/>
    <col min="15620" max="15620" width="47.28515625" style="808" customWidth="1"/>
    <col min="15621" max="15621" width="21.5703125" style="808" customWidth="1"/>
    <col min="15622" max="15622" width="9.42578125" style="808" bestFit="1" customWidth="1"/>
    <col min="15623" max="15872" width="9.140625" style="808"/>
    <col min="15873" max="15873" width="3.7109375" style="808" customWidth="1"/>
    <col min="15874" max="15874" width="6.28515625" style="808" customWidth="1"/>
    <col min="15875" max="15875" width="8.28515625" style="808" customWidth="1"/>
    <col min="15876" max="15876" width="47.28515625" style="808" customWidth="1"/>
    <col min="15877" max="15877" width="21.5703125" style="808" customWidth="1"/>
    <col min="15878" max="15878" width="9.42578125" style="808" bestFit="1" customWidth="1"/>
    <col min="15879" max="16128" width="9.140625" style="808"/>
    <col min="16129" max="16129" width="3.7109375" style="808" customWidth="1"/>
    <col min="16130" max="16130" width="6.28515625" style="808" customWidth="1"/>
    <col min="16131" max="16131" width="8.28515625" style="808" customWidth="1"/>
    <col min="16132" max="16132" width="47.28515625" style="808" customWidth="1"/>
    <col min="16133" max="16133" width="21.5703125" style="808" customWidth="1"/>
    <col min="16134" max="16134" width="9.42578125" style="808" bestFit="1" customWidth="1"/>
    <col min="16135" max="16384" width="9.140625" style="808"/>
  </cols>
  <sheetData>
    <row r="1" spans="1:8" s="783" customFormat="1" ht="12" x14ac:dyDescent="0.2"/>
    <row r="2" spans="1:8" s="783" customFormat="1" ht="12" x14ac:dyDescent="0.2">
      <c r="D2" s="1095"/>
      <c r="E2" s="782" t="s">
        <v>1309</v>
      </c>
    </row>
    <row r="3" spans="1:8" s="783" customFormat="1" ht="12" x14ac:dyDescent="0.2">
      <c r="D3" s="1095"/>
      <c r="E3" s="782" t="s">
        <v>80</v>
      </c>
    </row>
    <row r="4" spans="1:8" s="783" customFormat="1" ht="12" x14ac:dyDescent="0.2">
      <c r="D4" s="1095"/>
      <c r="E4" s="782" t="s">
        <v>81</v>
      </c>
    </row>
    <row r="5" spans="1:8" s="783" customFormat="1" ht="12" x14ac:dyDescent="0.2">
      <c r="D5" s="1095"/>
      <c r="E5" s="782" t="s">
        <v>82</v>
      </c>
    </row>
    <row r="6" spans="1:8" s="783" customFormat="1" ht="12" x14ac:dyDescent="0.2">
      <c r="D6" s="1095"/>
      <c r="E6" s="782"/>
    </row>
    <row r="7" spans="1:8" s="783" customFormat="1" ht="12" x14ac:dyDescent="0.2">
      <c r="D7" s="781"/>
    </row>
    <row r="8" spans="1:8" s="783" customFormat="1" ht="15" customHeight="1" x14ac:dyDescent="0.2">
      <c r="A8" s="1096" t="s">
        <v>1310</v>
      </c>
      <c r="B8" s="1096"/>
      <c r="C8" s="1096"/>
      <c r="D8" s="1096"/>
      <c r="E8" s="1096"/>
    </row>
    <row r="9" spans="1:8" s="783" customFormat="1" ht="15" customHeight="1" x14ac:dyDescent="0.2">
      <c r="A9" s="1096" t="s">
        <v>1311</v>
      </c>
      <c r="B9" s="1096"/>
      <c r="C9" s="1096"/>
      <c r="D9" s="1096"/>
      <c r="E9" s="1096"/>
    </row>
    <row r="10" spans="1:8" s="783" customFormat="1" ht="15" customHeight="1" x14ac:dyDescent="0.2">
      <c r="A10" s="1096" t="s">
        <v>1312</v>
      </c>
      <c r="B10" s="1096"/>
      <c r="C10" s="1096"/>
      <c r="D10" s="1096"/>
      <c r="E10" s="1096"/>
    </row>
    <row r="11" spans="1:8" s="783" customFormat="1" ht="13.5" customHeight="1" x14ac:dyDescent="0.2">
      <c r="D11" s="1097"/>
      <c r="E11" s="1097"/>
    </row>
    <row r="12" spans="1:8" s="1098" customFormat="1" ht="18" customHeight="1" x14ac:dyDescent="0.2">
      <c r="D12" s="1099"/>
      <c r="E12" s="1100" t="s">
        <v>2</v>
      </c>
    </row>
    <row r="13" spans="1:8" s="783" customFormat="1" ht="27" customHeight="1" x14ac:dyDescent="0.2">
      <c r="A13" s="1101" t="s">
        <v>950</v>
      </c>
      <c r="B13" s="1101" t="s">
        <v>696</v>
      </c>
      <c r="C13" s="1101" t="s">
        <v>1132</v>
      </c>
      <c r="D13" s="1101" t="s">
        <v>1173</v>
      </c>
      <c r="E13" s="1101" t="s">
        <v>1313</v>
      </c>
      <c r="G13" s="1102"/>
      <c r="H13" s="1103"/>
    </row>
    <row r="14" spans="1:8" s="1105" customFormat="1" ht="9" customHeight="1" x14ac:dyDescent="0.15">
      <c r="A14" s="1104">
        <v>1</v>
      </c>
      <c r="B14" s="1104">
        <v>2</v>
      </c>
      <c r="C14" s="1104">
        <v>3</v>
      </c>
      <c r="D14" s="1104">
        <v>4</v>
      </c>
      <c r="E14" s="1104">
        <v>5</v>
      </c>
    </row>
    <row r="15" spans="1:8" s="783" customFormat="1" ht="26.25" customHeight="1" x14ac:dyDescent="0.2">
      <c r="A15" s="1106">
        <v>1</v>
      </c>
      <c r="B15" s="1107">
        <v>801</v>
      </c>
      <c r="C15" s="1107">
        <v>80195</v>
      </c>
      <c r="D15" s="1108" t="s">
        <v>1314</v>
      </c>
      <c r="E15" s="1109">
        <v>20000</v>
      </c>
    </row>
    <row r="16" spans="1:8" s="783" customFormat="1" ht="25.5" customHeight="1" x14ac:dyDescent="0.2">
      <c r="A16" s="1106">
        <v>2</v>
      </c>
      <c r="B16" s="1107">
        <v>900</v>
      </c>
      <c r="C16" s="1107">
        <v>90004</v>
      </c>
      <c r="D16" s="1108" t="s">
        <v>1315</v>
      </c>
      <c r="E16" s="1109">
        <f>26000+500000</f>
        <v>526000</v>
      </c>
      <c r="F16" s="1110"/>
    </row>
    <row r="17" spans="1:7" s="783" customFormat="1" ht="36.75" customHeight="1" x14ac:dyDescent="0.2">
      <c r="A17" s="1111">
        <v>3</v>
      </c>
      <c r="B17" s="1112">
        <v>900</v>
      </c>
      <c r="C17" s="1112">
        <v>90005</v>
      </c>
      <c r="D17" s="1108" t="s">
        <v>1316</v>
      </c>
      <c r="E17" s="1113">
        <v>360000</v>
      </c>
      <c r="F17" s="1110"/>
    </row>
    <row r="18" spans="1:7" s="783" customFormat="1" ht="26.25" customHeight="1" x14ac:dyDescent="0.2">
      <c r="A18" s="1111">
        <v>4</v>
      </c>
      <c r="B18" s="1112">
        <v>900</v>
      </c>
      <c r="C18" s="1112">
        <v>90005</v>
      </c>
      <c r="D18" s="1108" t="s">
        <v>1317</v>
      </c>
      <c r="E18" s="1113">
        <v>130000</v>
      </c>
      <c r="F18" s="1110"/>
    </row>
    <row r="19" spans="1:7" s="783" customFormat="1" ht="37.5" customHeight="1" x14ac:dyDescent="0.2">
      <c r="A19" s="1111">
        <v>5</v>
      </c>
      <c r="B19" s="1114">
        <v>900</v>
      </c>
      <c r="C19" s="1114">
        <v>90005</v>
      </c>
      <c r="D19" s="1108" t="s">
        <v>1318</v>
      </c>
      <c r="E19" s="1113">
        <v>100000</v>
      </c>
      <c r="F19" s="1110"/>
    </row>
    <row r="20" spans="1:7" s="783" customFormat="1" ht="27" customHeight="1" x14ac:dyDescent="0.2">
      <c r="A20" s="1111">
        <v>6</v>
      </c>
      <c r="B20" s="1114">
        <v>900</v>
      </c>
      <c r="C20" s="1114">
        <v>90026</v>
      </c>
      <c r="D20" s="1108" t="s">
        <v>1319</v>
      </c>
      <c r="E20" s="1113">
        <v>50000</v>
      </c>
      <c r="F20" s="1110"/>
    </row>
    <row r="21" spans="1:7" s="783" customFormat="1" ht="15.75" customHeight="1" x14ac:dyDescent="0.2">
      <c r="A21" s="1106">
        <v>7</v>
      </c>
      <c r="B21" s="1112">
        <v>900</v>
      </c>
      <c r="C21" s="1112">
        <v>90095</v>
      </c>
      <c r="D21" s="1115" t="s">
        <v>1320</v>
      </c>
      <c r="E21" s="1109">
        <v>220000</v>
      </c>
      <c r="F21" s="1110"/>
    </row>
    <row r="22" spans="1:7" s="783" customFormat="1" ht="27" customHeight="1" x14ac:dyDescent="0.2">
      <c r="A22" s="1111">
        <v>8</v>
      </c>
      <c r="B22" s="1112">
        <v>900</v>
      </c>
      <c r="C22" s="1112">
        <v>90095</v>
      </c>
      <c r="D22" s="1108" t="s">
        <v>1321</v>
      </c>
      <c r="E22" s="1113">
        <v>95000</v>
      </c>
      <c r="F22" s="1116"/>
      <c r="G22" s="1098"/>
    </row>
    <row r="23" spans="1:7" s="1121" customFormat="1" ht="21.75" customHeight="1" x14ac:dyDescent="0.2">
      <c r="A23" s="1117" t="s">
        <v>1220</v>
      </c>
      <c r="B23" s="1118"/>
      <c r="C23" s="1118"/>
      <c r="D23" s="1119"/>
      <c r="E23" s="1120">
        <f>SUM(E15:E22)</f>
        <v>1501000</v>
      </c>
    </row>
    <row r="24" spans="1:7" s="783" customFormat="1" ht="12" x14ac:dyDescent="0.2"/>
    <row r="25" spans="1:7" x14ac:dyDescent="0.2">
      <c r="A25" s="827"/>
    </row>
    <row r="26" spans="1:7" x14ac:dyDescent="0.2">
      <c r="E26" s="1122"/>
    </row>
  </sheetData>
  <pageMargins left="0.70866141732283472" right="0.70866141732283472" top="0.74803149606299213" bottom="0.74803149606299213" header="0.31496062992125984" footer="0.31496062992125984"/>
  <pageSetup paperSize="9" scale="95" firstPageNumber="72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7FEECA-C331-4334-A2E1-AB9E3FD036DC}">
  <dimension ref="A1:WVO81"/>
  <sheetViews>
    <sheetView tabSelected="1" zoomScale="130" zoomScaleNormal="130" workbookViewId="0">
      <selection activeCell="F4" sqref="F4"/>
    </sheetView>
  </sheetViews>
  <sheetFormatPr defaultRowHeight="15" x14ac:dyDescent="0.25"/>
  <cols>
    <col min="1" max="1" width="4.85546875" style="1050" customWidth="1"/>
    <col min="2" max="2" width="33.42578125" style="1050" customWidth="1"/>
    <col min="3" max="3" width="8.5703125" style="1050" customWidth="1"/>
    <col min="4" max="4" width="9.42578125" style="1050" customWidth="1"/>
    <col min="5" max="5" width="8.140625" style="1050" customWidth="1"/>
    <col min="6" max="6" width="13" style="1045" customWidth="1"/>
    <col min="7" max="7" width="12.85546875" style="1045" customWidth="1"/>
    <col min="8" max="8" width="9.140625" style="1045"/>
    <col min="9" max="9" width="10.5703125" style="1045" bestFit="1" customWidth="1"/>
    <col min="10" max="76" width="9.140625" style="1045"/>
    <col min="77" max="253" width="9.140625" style="1050"/>
    <col min="254" max="254" width="5.28515625" style="1050" customWidth="1"/>
    <col min="255" max="255" width="8" style="1050" customWidth="1"/>
    <col min="256" max="256" width="5.85546875" style="1050" customWidth="1"/>
    <col min="257" max="257" width="9.42578125" style="1050" customWidth="1"/>
    <col min="258" max="258" width="11.28515625" style="1050" customWidth="1"/>
    <col min="259" max="259" width="11" style="1050" customWidth="1"/>
    <col min="260" max="260" width="13.140625" style="1050" customWidth="1"/>
    <col min="261" max="261" width="11.7109375" style="1050" customWidth="1"/>
    <col min="262" max="262" width="11.140625" style="1050" customWidth="1"/>
    <col min="263" max="263" width="11.7109375" style="1050" customWidth="1"/>
    <col min="264" max="509" width="9.140625" style="1050"/>
    <col min="510" max="510" width="5.28515625" style="1050" customWidth="1"/>
    <col min="511" max="511" width="8" style="1050" customWidth="1"/>
    <col min="512" max="512" width="5.85546875" style="1050" customWidth="1"/>
    <col min="513" max="513" width="9.42578125" style="1050" customWidth="1"/>
    <col min="514" max="514" width="11.28515625" style="1050" customWidth="1"/>
    <col min="515" max="515" width="11" style="1050" customWidth="1"/>
    <col min="516" max="516" width="13.140625" style="1050" customWidth="1"/>
    <col min="517" max="517" width="11.7109375" style="1050" customWidth="1"/>
    <col min="518" max="518" width="11.140625" style="1050" customWidth="1"/>
    <col min="519" max="519" width="11.7109375" style="1050" customWidth="1"/>
    <col min="520" max="765" width="9.140625" style="1050"/>
    <col min="766" max="766" width="5.28515625" style="1050" customWidth="1"/>
    <col min="767" max="767" width="8" style="1050" customWidth="1"/>
    <col min="768" max="768" width="5.85546875" style="1050" customWidth="1"/>
    <col min="769" max="769" width="9.42578125" style="1050" customWidth="1"/>
    <col min="770" max="770" width="11.28515625" style="1050" customWidth="1"/>
    <col min="771" max="771" width="11" style="1050" customWidth="1"/>
    <col min="772" max="772" width="13.140625" style="1050" customWidth="1"/>
    <col min="773" max="773" width="11.7109375" style="1050" customWidth="1"/>
    <col min="774" max="774" width="11.140625" style="1050" customWidth="1"/>
    <col min="775" max="775" width="11.7109375" style="1050" customWidth="1"/>
    <col min="776" max="1021" width="9.140625" style="1050"/>
    <col min="1022" max="1022" width="5.28515625" style="1050" customWidth="1"/>
    <col min="1023" max="1023" width="8" style="1050" customWidth="1"/>
    <col min="1024" max="1024" width="5.85546875" style="1050" customWidth="1"/>
    <col min="1025" max="1025" width="9.42578125" style="1050" customWidth="1"/>
    <col min="1026" max="1026" width="11.28515625" style="1050" customWidth="1"/>
    <col min="1027" max="1027" width="11" style="1050" customWidth="1"/>
    <col min="1028" max="1028" width="13.140625" style="1050" customWidth="1"/>
    <col min="1029" max="1029" width="11.7109375" style="1050" customWidth="1"/>
    <col min="1030" max="1030" width="11.140625" style="1050" customWidth="1"/>
    <col min="1031" max="1031" width="11.7109375" style="1050" customWidth="1"/>
    <col min="1032" max="1277" width="9.140625" style="1050"/>
    <col min="1278" max="1278" width="5.28515625" style="1050" customWidth="1"/>
    <col min="1279" max="1279" width="8" style="1050" customWidth="1"/>
    <col min="1280" max="1280" width="5.85546875" style="1050" customWidth="1"/>
    <col min="1281" max="1281" width="9.42578125" style="1050" customWidth="1"/>
    <col min="1282" max="1282" width="11.28515625" style="1050" customWidth="1"/>
    <col min="1283" max="1283" width="11" style="1050" customWidth="1"/>
    <col min="1284" max="1284" width="13.140625" style="1050" customWidth="1"/>
    <col min="1285" max="1285" width="11.7109375" style="1050" customWidth="1"/>
    <col min="1286" max="1286" width="11.140625" style="1050" customWidth="1"/>
    <col min="1287" max="1287" width="11.7109375" style="1050" customWidth="1"/>
    <col min="1288" max="1533" width="9.140625" style="1050"/>
    <col min="1534" max="1534" width="5.28515625" style="1050" customWidth="1"/>
    <col min="1535" max="1535" width="8" style="1050" customWidth="1"/>
    <col min="1536" max="1536" width="5.85546875" style="1050" customWidth="1"/>
    <col min="1537" max="1537" width="9.42578125" style="1050" customWidth="1"/>
    <col min="1538" max="1538" width="11.28515625" style="1050" customWidth="1"/>
    <col min="1539" max="1539" width="11" style="1050" customWidth="1"/>
    <col min="1540" max="1540" width="13.140625" style="1050" customWidth="1"/>
    <col min="1541" max="1541" width="11.7109375" style="1050" customWidth="1"/>
    <col min="1542" max="1542" width="11.140625" style="1050" customWidth="1"/>
    <col min="1543" max="1543" width="11.7109375" style="1050" customWidth="1"/>
    <col min="1544" max="1789" width="9.140625" style="1050"/>
    <col min="1790" max="1790" width="5.28515625" style="1050" customWidth="1"/>
    <col min="1791" max="1791" width="8" style="1050" customWidth="1"/>
    <col min="1792" max="1792" width="5.85546875" style="1050" customWidth="1"/>
    <col min="1793" max="1793" width="9.42578125" style="1050" customWidth="1"/>
    <col min="1794" max="1794" width="11.28515625" style="1050" customWidth="1"/>
    <col min="1795" max="1795" width="11" style="1050" customWidth="1"/>
    <col min="1796" max="1796" width="13.140625" style="1050" customWidth="1"/>
    <col min="1797" max="1797" width="11.7109375" style="1050" customWidth="1"/>
    <col min="1798" max="1798" width="11.140625" style="1050" customWidth="1"/>
    <col min="1799" max="1799" width="11.7109375" style="1050" customWidth="1"/>
    <col min="1800" max="2045" width="9.140625" style="1050"/>
    <col min="2046" max="2046" width="5.28515625" style="1050" customWidth="1"/>
    <col min="2047" max="2047" width="8" style="1050" customWidth="1"/>
    <col min="2048" max="2048" width="5.85546875" style="1050" customWidth="1"/>
    <col min="2049" max="2049" width="9.42578125" style="1050" customWidth="1"/>
    <col min="2050" max="2050" width="11.28515625" style="1050" customWidth="1"/>
    <col min="2051" max="2051" width="11" style="1050" customWidth="1"/>
    <col min="2052" max="2052" width="13.140625" style="1050" customWidth="1"/>
    <col min="2053" max="2053" width="11.7109375" style="1050" customWidth="1"/>
    <col min="2054" max="2054" width="11.140625" style="1050" customWidth="1"/>
    <col min="2055" max="2055" width="11.7109375" style="1050" customWidth="1"/>
    <col min="2056" max="2301" width="9.140625" style="1050"/>
    <col min="2302" max="2302" width="5.28515625" style="1050" customWidth="1"/>
    <col min="2303" max="2303" width="8" style="1050" customWidth="1"/>
    <col min="2304" max="2304" width="5.85546875" style="1050" customWidth="1"/>
    <col min="2305" max="2305" width="9.42578125" style="1050" customWidth="1"/>
    <col min="2306" max="2306" width="11.28515625" style="1050" customWidth="1"/>
    <col min="2307" max="2307" width="11" style="1050" customWidth="1"/>
    <col min="2308" max="2308" width="13.140625" style="1050" customWidth="1"/>
    <col min="2309" max="2309" width="11.7109375" style="1050" customWidth="1"/>
    <col min="2310" max="2310" width="11.140625" style="1050" customWidth="1"/>
    <col min="2311" max="2311" width="11.7109375" style="1050" customWidth="1"/>
    <col min="2312" max="2557" width="9.140625" style="1050"/>
    <col min="2558" max="2558" width="5.28515625" style="1050" customWidth="1"/>
    <col min="2559" max="2559" width="8" style="1050" customWidth="1"/>
    <col min="2560" max="2560" width="5.85546875" style="1050" customWidth="1"/>
    <col min="2561" max="2561" width="9.42578125" style="1050" customWidth="1"/>
    <col min="2562" max="2562" width="11.28515625" style="1050" customWidth="1"/>
    <col min="2563" max="2563" width="11" style="1050" customWidth="1"/>
    <col min="2564" max="2564" width="13.140625" style="1050" customWidth="1"/>
    <col min="2565" max="2565" width="11.7109375" style="1050" customWidth="1"/>
    <col min="2566" max="2566" width="11.140625" style="1050" customWidth="1"/>
    <col min="2567" max="2567" width="11.7109375" style="1050" customWidth="1"/>
    <col min="2568" max="2813" width="9.140625" style="1050"/>
    <col min="2814" max="2814" width="5.28515625" style="1050" customWidth="1"/>
    <col min="2815" max="2815" width="8" style="1050" customWidth="1"/>
    <col min="2816" max="2816" width="5.85546875" style="1050" customWidth="1"/>
    <col min="2817" max="2817" width="9.42578125" style="1050" customWidth="1"/>
    <col min="2818" max="2818" width="11.28515625" style="1050" customWidth="1"/>
    <col min="2819" max="2819" width="11" style="1050" customWidth="1"/>
    <col min="2820" max="2820" width="13.140625" style="1050" customWidth="1"/>
    <col min="2821" max="2821" width="11.7109375" style="1050" customWidth="1"/>
    <col min="2822" max="2822" width="11.140625" style="1050" customWidth="1"/>
    <col min="2823" max="2823" width="11.7109375" style="1050" customWidth="1"/>
    <col min="2824" max="3069" width="9.140625" style="1050"/>
    <col min="3070" max="3070" width="5.28515625" style="1050" customWidth="1"/>
    <col min="3071" max="3071" width="8" style="1050" customWidth="1"/>
    <col min="3072" max="3072" width="5.85546875" style="1050" customWidth="1"/>
    <col min="3073" max="3073" width="9.42578125" style="1050" customWidth="1"/>
    <col min="3074" max="3074" width="11.28515625" style="1050" customWidth="1"/>
    <col min="3075" max="3075" width="11" style="1050" customWidth="1"/>
    <col min="3076" max="3076" width="13.140625" style="1050" customWidth="1"/>
    <col min="3077" max="3077" width="11.7109375" style="1050" customWidth="1"/>
    <col min="3078" max="3078" width="11.140625" style="1050" customWidth="1"/>
    <col min="3079" max="3079" width="11.7109375" style="1050" customWidth="1"/>
    <col min="3080" max="3325" width="9.140625" style="1050"/>
    <col min="3326" max="3326" width="5.28515625" style="1050" customWidth="1"/>
    <col min="3327" max="3327" width="8" style="1050" customWidth="1"/>
    <col min="3328" max="3328" width="5.85546875" style="1050" customWidth="1"/>
    <col min="3329" max="3329" width="9.42578125" style="1050" customWidth="1"/>
    <col min="3330" max="3330" width="11.28515625" style="1050" customWidth="1"/>
    <col min="3331" max="3331" width="11" style="1050" customWidth="1"/>
    <col min="3332" max="3332" width="13.140625" style="1050" customWidth="1"/>
    <col min="3333" max="3333" width="11.7109375" style="1050" customWidth="1"/>
    <col min="3334" max="3334" width="11.140625" style="1050" customWidth="1"/>
    <col min="3335" max="3335" width="11.7109375" style="1050" customWidth="1"/>
    <col min="3336" max="3581" width="9.140625" style="1050"/>
    <col min="3582" max="3582" width="5.28515625" style="1050" customWidth="1"/>
    <col min="3583" max="3583" width="8" style="1050" customWidth="1"/>
    <col min="3584" max="3584" width="5.85546875" style="1050" customWidth="1"/>
    <col min="3585" max="3585" width="9.42578125" style="1050" customWidth="1"/>
    <col min="3586" max="3586" width="11.28515625" style="1050" customWidth="1"/>
    <col min="3587" max="3587" width="11" style="1050" customWidth="1"/>
    <col min="3588" max="3588" width="13.140625" style="1050" customWidth="1"/>
    <col min="3589" max="3589" width="11.7109375" style="1050" customWidth="1"/>
    <col min="3590" max="3590" width="11.140625" style="1050" customWidth="1"/>
    <col min="3591" max="3591" width="11.7109375" style="1050" customWidth="1"/>
    <col min="3592" max="3837" width="9.140625" style="1050"/>
    <col min="3838" max="3838" width="5.28515625" style="1050" customWidth="1"/>
    <col min="3839" max="3839" width="8" style="1050" customWidth="1"/>
    <col min="3840" max="3840" width="5.85546875" style="1050" customWidth="1"/>
    <col min="3841" max="3841" width="9.42578125" style="1050" customWidth="1"/>
    <col min="3842" max="3842" width="11.28515625" style="1050" customWidth="1"/>
    <col min="3843" max="3843" width="11" style="1050" customWidth="1"/>
    <col min="3844" max="3844" width="13.140625" style="1050" customWidth="1"/>
    <col min="3845" max="3845" width="11.7109375" style="1050" customWidth="1"/>
    <col min="3846" max="3846" width="11.140625" style="1050" customWidth="1"/>
    <col min="3847" max="3847" width="11.7109375" style="1050" customWidth="1"/>
    <col min="3848" max="4093" width="9.140625" style="1050"/>
    <col min="4094" max="4094" width="5.28515625" style="1050" customWidth="1"/>
    <col min="4095" max="4095" width="8" style="1050" customWidth="1"/>
    <col min="4096" max="4096" width="5.85546875" style="1050" customWidth="1"/>
    <col min="4097" max="4097" width="9.42578125" style="1050" customWidth="1"/>
    <col min="4098" max="4098" width="11.28515625" style="1050" customWidth="1"/>
    <col min="4099" max="4099" width="11" style="1050" customWidth="1"/>
    <col min="4100" max="4100" width="13.140625" style="1050" customWidth="1"/>
    <col min="4101" max="4101" width="11.7109375" style="1050" customWidth="1"/>
    <col min="4102" max="4102" width="11.140625" style="1050" customWidth="1"/>
    <col min="4103" max="4103" width="11.7109375" style="1050" customWidth="1"/>
    <col min="4104" max="4349" width="9.140625" style="1050"/>
    <col min="4350" max="4350" width="5.28515625" style="1050" customWidth="1"/>
    <col min="4351" max="4351" width="8" style="1050" customWidth="1"/>
    <col min="4352" max="4352" width="5.85546875" style="1050" customWidth="1"/>
    <col min="4353" max="4353" width="9.42578125" style="1050" customWidth="1"/>
    <col min="4354" max="4354" width="11.28515625" style="1050" customWidth="1"/>
    <col min="4355" max="4355" width="11" style="1050" customWidth="1"/>
    <col min="4356" max="4356" width="13.140625" style="1050" customWidth="1"/>
    <col min="4357" max="4357" width="11.7109375" style="1050" customWidth="1"/>
    <col min="4358" max="4358" width="11.140625" style="1050" customWidth="1"/>
    <col min="4359" max="4359" width="11.7109375" style="1050" customWidth="1"/>
    <col min="4360" max="4605" width="9.140625" style="1050"/>
    <col min="4606" max="4606" width="5.28515625" style="1050" customWidth="1"/>
    <col min="4607" max="4607" width="8" style="1050" customWidth="1"/>
    <col min="4608" max="4608" width="5.85546875" style="1050" customWidth="1"/>
    <col min="4609" max="4609" width="9.42578125" style="1050" customWidth="1"/>
    <col min="4610" max="4610" width="11.28515625" style="1050" customWidth="1"/>
    <col min="4611" max="4611" width="11" style="1050" customWidth="1"/>
    <col min="4612" max="4612" width="13.140625" style="1050" customWidth="1"/>
    <col min="4613" max="4613" width="11.7109375" style="1050" customWidth="1"/>
    <col min="4614" max="4614" width="11.140625" style="1050" customWidth="1"/>
    <col min="4615" max="4615" width="11.7109375" style="1050" customWidth="1"/>
    <col min="4616" max="4861" width="9.140625" style="1050"/>
    <col min="4862" max="4862" width="5.28515625" style="1050" customWidth="1"/>
    <col min="4863" max="4863" width="8" style="1050" customWidth="1"/>
    <col min="4864" max="4864" width="5.85546875" style="1050" customWidth="1"/>
    <col min="4865" max="4865" width="9.42578125" style="1050" customWidth="1"/>
    <col min="4866" max="4866" width="11.28515625" style="1050" customWidth="1"/>
    <col min="4867" max="4867" width="11" style="1050" customWidth="1"/>
    <col min="4868" max="4868" width="13.140625" style="1050" customWidth="1"/>
    <col min="4869" max="4869" width="11.7109375" style="1050" customWidth="1"/>
    <col min="4870" max="4870" width="11.140625" style="1050" customWidth="1"/>
    <col min="4871" max="4871" width="11.7109375" style="1050" customWidth="1"/>
    <col min="4872" max="5117" width="9.140625" style="1050"/>
    <col min="5118" max="5118" width="5.28515625" style="1050" customWidth="1"/>
    <col min="5119" max="5119" width="8" style="1050" customWidth="1"/>
    <col min="5120" max="5120" width="5.85546875" style="1050" customWidth="1"/>
    <col min="5121" max="5121" width="9.42578125" style="1050" customWidth="1"/>
    <col min="5122" max="5122" width="11.28515625" style="1050" customWidth="1"/>
    <col min="5123" max="5123" width="11" style="1050" customWidth="1"/>
    <col min="5124" max="5124" width="13.140625" style="1050" customWidth="1"/>
    <col min="5125" max="5125" width="11.7109375" style="1050" customWidth="1"/>
    <col min="5126" max="5126" width="11.140625" style="1050" customWidth="1"/>
    <col min="5127" max="5127" width="11.7109375" style="1050" customWidth="1"/>
    <col min="5128" max="5373" width="9.140625" style="1050"/>
    <col min="5374" max="5374" width="5.28515625" style="1050" customWidth="1"/>
    <col min="5375" max="5375" width="8" style="1050" customWidth="1"/>
    <col min="5376" max="5376" width="5.85546875" style="1050" customWidth="1"/>
    <col min="5377" max="5377" width="9.42578125" style="1050" customWidth="1"/>
    <col min="5378" max="5378" width="11.28515625" style="1050" customWidth="1"/>
    <col min="5379" max="5379" width="11" style="1050" customWidth="1"/>
    <col min="5380" max="5380" width="13.140625" style="1050" customWidth="1"/>
    <col min="5381" max="5381" width="11.7109375" style="1050" customWidth="1"/>
    <col min="5382" max="5382" width="11.140625" style="1050" customWidth="1"/>
    <col min="5383" max="5383" width="11.7109375" style="1050" customWidth="1"/>
    <col min="5384" max="5629" width="9.140625" style="1050"/>
    <col min="5630" max="5630" width="5.28515625" style="1050" customWidth="1"/>
    <col min="5631" max="5631" width="8" style="1050" customWidth="1"/>
    <col min="5632" max="5632" width="5.85546875" style="1050" customWidth="1"/>
    <col min="5633" max="5633" width="9.42578125" style="1050" customWidth="1"/>
    <col min="5634" max="5634" width="11.28515625" style="1050" customWidth="1"/>
    <col min="5635" max="5635" width="11" style="1050" customWidth="1"/>
    <col min="5636" max="5636" width="13.140625" style="1050" customWidth="1"/>
    <col min="5637" max="5637" width="11.7109375" style="1050" customWidth="1"/>
    <col min="5638" max="5638" width="11.140625" style="1050" customWidth="1"/>
    <col min="5639" max="5639" width="11.7109375" style="1050" customWidth="1"/>
    <col min="5640" max="5885" width="9.140625" style="1050"/>
    <col min="5886" max="5886" width="5.28515625" style="1050" customWidth="1"/>
    <col min="5887" max="5887" width="8" style="1050" customWidth="1"/>
    <col min="5888" max="5888" width="5.85546875" style="1050" customWidth="1"/>
    <col min="5889" max="5889" width="9.42578125" style="1050" customWidth="1"/>
    <col min="5890" max="5890" width="11.28515625" style="1050" customWidth="1"/>
    <col min="5891" max="5891" width="11" style="1050" customWidth="1"/>
    <col min="5892" max="5892" width="13.140625" style="1050" customWidth="1"/>
    <col min="5893" max="5893" width="11.7109375" style="1050" customWidth="1"/>
    <col min="5894" max="5894" width="11.140625" style="1050" customWidth="1"/>
    <col min="5895" max="5895" width="11.7109375" style="1050" customWidth="1"/>
    <col min="5896" max="6141" width="9.140625" style="1050"/>
    <col min="6142" max="6142" width="5.28515625" style="1050" customWidth="1"/>
    <col min="6143" max="6143" width="8" style="1050" customWidth="1"/>
    <col min="6144" max="6144" width="5.85546875" style="1050" customWidth="1"/>
    <col min="6145" max="6145" width="9.42578125" style="1050" customWidth="1"/>
    <col min="6146" max="6146" width="11.28515625" style="1050" customWidth="1"/>
    <col min="6147" max="6147" width="11" style="1050" customWidth="1"/>
    <col min="6148" max="6148" width="13.140625" style="1050" customWidth="1"/>
    <col min="6149" max="6149" width="11.7109375" style="1050" customWidth="1"/>
    <col min="6150" max="6150" width="11.140625" style="1050" customWidth="1"/>
    <col min="6151" max="6151" width="11.7109375" style="1050" customWidth="1"/>
    <col min="6152" max="6397" width="9.140625" style="1050"/>
    <col min="6398" max="6398" width="5.28515625" style="1050" customWidth="1"/>
    <col min="6399" max="6399" width="8" style="1050" customWidth="1"/>
    <col min="6400" max="6400" width="5.85546875" style="1050" customWidth="1"/>
    <col min="6401" max="6401" width="9.42578125" style="1050" customWidth="1"/>
    <col min="6402" max="6402" width="11.28515625" style="1050" customWidth="1"/>
    <col min="6403" max="6403" width="11" style="1050" customWidth="1"/>
    <col min="6404" max="6404" width="13.140625" style="1050" customWidth="1"/>
    <col min="6405" max="6405" width="11.7109375" style="1050" customWidth="1"/>
    <col min="6406" max="6406" width="11.140625" style="1050" customWidth="1"/>
    <col min="6407" max="6407" width="11.7109375" style="1050" customWidth="1"/>
    <col min="6408" max="6653" width="9.140625" style="1050"/>
    <col min="6654" max="6654" width="5.28515625" style="1050" customWidth="1"/>
    <col min="6655" max="6655" width="8" style="1050" customWidth="1"/>
    <col min="6656" max="6656" width="5.85546875" style="1050" customWidth="1"/>
    <col min="6657" max="6657" width="9.42578125" style="1050" customWidth="1"/>
    <col min="6658" max="6658" width="11.28515625" style="1050" customWidth="1"/>
    <col min="6659" max="6659" width="11" style="1050" customWidth="1"/>
    <col min="6660" max="6660" width="13.140625" style="1050" customWidth="1"/>
    <col min="6661" max="6661" width="11.7109375" style="1050" customWidth="1"/>
    <col min="6662" max="6662" width="11.140625" style="1050" customWidth="1"/>
    <col min="6663" max="6663" width="11.7109375" style="1050" customWidth="1"/>
    <col min="6664" max="6909" width="9.140625" style="1050"/>
    <col min="6910" max="6910" width="5.28515625" style="1050" customWidth="1"/>
    <col min="6911" max="6911" width="8" style="1050" customWidth="1"/>
    <col min="6912" max="6912" width="5.85546875" style="1050" customWidth="1"/>
    <col min="6913" max="6913" width="9.42578125" style="1050" customWidth="1"/>
    <col min="6914" max="6914" width="11.28515625" style="1050" customWidth="1"/>
    <col min="6915" max="6915" width="11" style="1050" customWidth="1"/>
    <col min="6916" max="6916" width="13.140625" style="1050" customWidth="1"/>
    <col min="6917" max="6917" width="11.7109375" style="1050" customWidth="1"/>
    <col min="6918" max="6918" width="11.140625" style="1050" customWidth="1"/>
    <col min="6919" max="6919" width="11.7109375" style="1050" customWidth="1"/>
    <col min="6920" max="7165" width="9.140625" style="1050"/>
    <col min="7166" max="7166" width="5.28515625" style="1050" customWidth="1"/>
    <col min="7167" max="7167" width="8" style="1050" customWidth="1"/>
    <col min="7168" max="7168" width="5.85546875" style="1050" customWidth="1"/>
    <col min="7169" max="7169" width="9.42578125" style="1050" customWidth="1"/>
    <col min="7170" max="7170" width="11.28515625" style="1050" customWidth="1"/>
    <col min="7171" max="7171" width="11" style="1050" customWidth="1"/>
    <col min="7172" max="7172" width="13.140625" style="1050" customWidth="1"/>
    <col min="7173" max="7173" width="11.7109375" style="1050" customWidth="1"/>
    <col min="7174" max="7174" width="11.140625" style="1050" customWidth="1"/>
    <col min="7175" max="7175" width="11.7109375" style="1050" customWidth="1"/>
    <col min="7176" max="7421" width="9.140625" style="1050"/>
    <col min="7422" max="7422" width="5.28515625" style="1050" customWidth="1"/>
    <col min="7423" max="7423" width="8" style="1050" customWidth="1"/>
    <col min="7424" max="7424" width="5.85546875" style="1050" customWidth="1"/>
    <col min="7425" max="7425" width="9.42578125" style="1050" customWidth="1"/>
    <col min="7426" max="7426" width="11.28515625" style="1050" customWidth="1"/>
    <col min="7427" max="7427" width="11" style="1050" customWidth="1"/>
    <col min="7428" max="7428" width="13.140625" style="1050" customWidth="1"/>
    <col min="7429" max="7429" width="11.7109375" style="1050" customWidth="1"/>
    <col min="7430" max="7430" width="11.140625" style="1050" customWidth="1"/>
    <col min="7431" max="7431" width="11.7109375" style="1050" customWidth="1"/>
    <col min="7432" max="7677" width="9.140625" style="1050"/>
    <col min="7678" max="7678" width="5.28515625" style="1050" customWidth="1"/>
    <col min="7679" max="7679" width="8" style="1050" customWidth="1"/>
    <col min="7680" max="7680" width="5.85546875" style="1050" customWidth="1"/>
    <col min="7681" max="7681" width="9.42578125" style="1050" customWidth="1"/>
    <col min="7682" max="7682" width="11.28515625" style="1050" customWidth="1"/>
    <col min="7683" max="7683" width="11" style="1050" customWidth="1"/>
    <col min="7684" max="7684" width="13.140625" style="1050" customWidth="1"/>
    <col min="7685" max="7685" width="11.7109375" style="1050" customWidth="1"/>
    <col min="7686" max="7686" width="11.140625" style="1050" customWidth="1"/>
    <col min="7687" max="7687" width="11.7109375" style="1050" customWidth="1"/>
    <col min="7688" max="7933" width="9.140625" style="1050"/>
    <col min="7934" max="7934" width="5.28515625" style="1050" customWidth="1"/>
    <col min="7935" max="7935" width="8" style="1050" customWidth="1"/>
    <col min="7936" max="7936" width="5.85546875" style="1050" customWidth="1"/>
    <col min="7937" max="7937" width="9.42578125" style="1050" customWidth="1"/>
    <col min="7938" max="7938" width="11.28515625" style="1050" customWidth="1"/>
    <col min="7939" max="7939" width="11" style="1050" customWidth="1"/>
    <col min="7940" max="7940" width="13.140625" style="1050" customWidth="1"/>
    <col min="7941" max="7941" width="11.7109375" style="1050" customWidth="1"/>
    <col min="7942" max="7942" width="11.140625" style="1050" customWidth="1"/>
    <col min="7943" max="7943" width="11.7109375" style="1050" customWidth="1"/>
    <col min="7944" max="8189" width="9.140625" style="1050"/>
    <col min="8190" max="8190" width="5.28515625" style="1050" customWidth="1"/>
    <col min="8191" max="8191" width="8" style="1050" customWidth="1"/>
    <col min="8192" max="8192" width="5.85546875" style="1050" customWidth="1"/>
    <col min="8193" max="8193" width="9.42578125" style="1050" customWidth="1"/>
    <col min="8194" max="8194" width="11.28515625" style="1050" customWidth="1"/>
    <col min="8195" max="8195" width="11" style="1050" customWidth="1"/>
    <col min="8196" max="8196" width="13.140625" style="1050" customWidth="1"/>
    <col min="8197" max="8197" width="11.7109375" style="1050" customWidth="1"/>
    <col min="8198" max="8198" width="11.140625" style="1050" customWidth="1"/>
    <col min="8199" max="8199" width="11.7109375" style="1050" customWidth="1"/>
    <col min="8200" max="8445" width="9.140625" style="1050"/>
    <col min="8446" max="8446" width="5.28515625" style="1050" customWidth="1"/>
    <col min="8447" max="8447" width="8" style="1050" customWidth="1"/>
    <col min="8448" max="8448" width="5.85546875" style="1050" customWidth="1"/>
    <col min="8449" max="8449" width="9.42578125" style="1050" customWidth="1"/>
    <col min="8450" max="8450" width="11.28515625" style="1050" customWidth="1"/>
    <col min="8451" max="8451" width="11" style="1050" customWidth="1"/>
    <col min="8452" max="8452" width="13.140625" style="1050" customWidth="1"/>
    <col min="8453" max="8453" width="11.7109375" style="1050" customWidth="1"/>
    <col min="8454" max="8454" width="11.140625" style="1050" customWidth="1"/>
    <col min="8455" max="8455" width="11.7109375" style="1050" customWidth="1"/>
    <col min="8456" max="8701" width="9.140625" style="1050"/>
    <col min="8702" max="8702" width="5.28515625" style="1050" customWidth="1"/>
    <col min="8703" max="8703" width="8" style="1050" customWidth="1"/>
    <col min="8704" max="8704" width="5.85546875" style="1050" customWidth="1"/>
    <col min="8705" max="8705" width="9.42578125" style="1050" customWidth="1"/>
    <col min="8706" max="8706" width="11.28515625" style="1050" customWidth="1"/>
    <col min="8707" max="8707" width="11" style="1050" customWidth="1"/>
    <col min="8708" max="8708" width="13.140625" style="1050" customWidth="1"/>
    <col min="8709" max="8709" width="11.7109375" style="1050" customWidth="1"/>
    <col min="8710" max="8710" width="11.140625" style="1050" customWidth="1"/>
    <col min="8711" max="8711" width="11.7109375" style="1050" customWidth="1"/>
    <col min="8712" max="8957" width="9.140625" style="1050"/>
    <col min="8958" max="8958" width="5.28515625" style="1050" customWidth="1"/>
    <col min="8959" max="8959" width="8" style="1050" customWidth="1"/>
    <col min="8960" max="8960" width="5.85546875" style="1050" customWidth="1"/>
    <col min="8961" max="8961" width="9.42578125" style="1050" customWidth="1"/>
    <col min="8962" max="8962" width="11.28515625" style="1050" customWidth="1"/>
    <col min="8963" max="8963" width="11" style="1050" customWidth="1"/>
    <col min="8964" max="8964" width="13.140625" style="1050" customWidth="1"/>
    <col min="8965" max="8965" width="11.7109375" style="1050" customWidth="1"/>
    <col min="8966" max="8966" width="11.140625" style="1050" customWidth="1"/>
    <col min="8967" max="8967" width="11.7109375" style="1050" customWidth="1"/>
    <col min="8968" max="9213" width="9.140625" style="1050"/>
    <col min="9214" max="9214" width="5.28515625" style="1050" customWidth="1"/>
    <col min="9215" max="9215" width="8" style="1050" customWidth="1"/>
    <col min="9216" max="9216" width="5.85546875" style="1050" customWidth="1"/>
    <col min="9217" max="9217" width="9.42578125" style="1050" customWidth="1"/>
    <col min="9218" max="9218" width="11.28515625" style="1050" customWidth="1"/>
    <col min="9219" max="9219" width="11" style="1050" customWidth="1"/>
    <col min="9220" max="9220" width="13.140625" style="1050" customWidth="1"/>
    <col min="9221" max="9221" width="11.7109375" style="1050" customWidth="1"/>
    <col min="9222" max="9222" width="11.140625" style="1050" customWidth="1"/>
    <col min="9223" max="9223" width="11.7109375" style="1050" customWidth="1"/>
    <col min="9224" max="9469" width="9.140625" style="1050"/>
    <col min="9470" max="9470" width="5.28515625" style="1050" customWidth="1"/>
    <col min="9471" max="9471" width="8" style="1050" customWidth="1"/>
    <col min="9472" max="9472" width="5.85546875" style="1050" customWidth="1"/>
    <col min="9473" max="9473" width="9.42578125" style="1050" customWidth="1"/>
    <col min="9474" max="9474" width="11.28515625" style="1050" customWidth="1"/>
    <col min="9475" max="9475" width="11" style="1050" customWidth="1"/>
    <col min="9476" max="9476" width="13.140625" style="1050" customWidth="1"/>
    <col min="9477" max="9477" width="11.7109375" style="1050" customWidth="1"/>
    <col min="9478" max="9478" width="11.140625" style="1050" customWidth="1"/>
    <col min="9479" max="9479" width="11.7109375" style="1050" customWidth="1"/>
    <col min="9480" max="9725" width="9.140625" style="1050"/>
    <col min="9726" max="9726" width="5.28515625" style="1050" customWidth="1"/>
    <col min="9727" max="9727" width="8" style="1050" customWidth="1"/>
    <col min="9728" max="9728" width="5.85546875" style="1050" customWidth="1"/>
    <col min="9729" max="9729" width="9.42578125" style="1050" customWidth="1"/>
    <col min="9730" max="9730" width="11.28515625" style="1050" customWidth="1"/>
    <col min="9731" max="9731" width="11" style="1050" customWidth="1"/>
    <col min="9732" max="9732" width="13.140625" style="1050" customWidth="1"/>
    <col min="9733" max="9733" width="11.7109375" style="1050" customWidth="1"/>
    <col min="9734" max="9734" width="11.140625" style="1050" customWidth="1"/>
    <col min="9735" max="9735" width="11.7109375" style="1050" customWidth="1"/>
    <col min="9736" max="9981" width="9.140625" style="1050"/>
    <col min="9982" max="9982" width="5.28515625" style="1050" customWidth="1"/>
    <col min="9983" max="9983" width="8" style="1050" customWidth="1"/>
    <col min="9984" max="9984" width="5.85546875" style="1050" customWidth="1"/>
    <col min="9985" max="9985" width="9.42578125" style="1050" customWidth="1"/>
    <col min="9986" max="9986" width="11.28515625" style="1050" customWidth="1"/>
    <col min="9987" max="9987" width="11" style="1050" customWidth="1"/>
    <col min="9988" max="9988" width="13.140625" style="1050" customWidth="1"/>
    <col min="9989" max="9989" width="11.7109375" style="1050" customWidth="1"/>
    <col min="9990" max="9990" width="11.140625" style="1050" customWidth="1"/>
    <col min="9991" max="9991" width="11.7109375" style="1050" customWidth="1"/>
    <col min="9992" max="10237" width="9.140625" style="1050"/>
    <col min="10238" max="10238" width="5.28515625" style="1050" customWidth="1"/>
    <col min="10239" max="10239" width="8" style="1050" customWidth="1"/>
    <col min="10240" max="10240" width="5.85546875" style="1050" customWidth="1"/>
    <col min="10241" max="10241" width="9.42578125" style="1050" customWidth="1"/>
    <col min="10242" max="10242" width="11.28515625" style="1050" customWidth="1"/>
    <col min="10243" max="10243" width="11" style="1050" customWidth="1"/>
    <col min="10244" max="10244" width="13.140625" style="1050" customWidth="1"/>
    <col min="10245" max="10245" width="11.7109375" style="1050" customWidth="1"/>
    <col min="10246" max="10246" width="11.140625" style="1050" customWidth="1"/>
    <col min="10247" max="10247" width="11.7109375" style="1050" customWidth="1"/>
    <col min="10248" max="10493" width="9.140625" style="1050"/>
    <col min="10494" max="10494" width="5.28515625" style="1050" customWidth="1"/>
    <col min="10495" max="10495" width="8" style="1050" customWidth="1"/>
    <col min="10496" max="10496" width="5.85546875" style="1050" customWidth="1"/>
    <col min="10497" max="10497" width="9.42578125" style="1050" customWidth="1"/>
    <col min="10498" max="10498" width="11.28515625" style="1050" customWidth="1"/>
    <col min="10499" max="10499" width="11" style="1050" customWidth="1"/>
    <col min="10500" max="10500" width="13.140625" style="1050" customWidth="1"/>
    <col min="10501" max="10501" width="11.7109375" style="1050" customWidth="1"/>
    <col min="10502" max="10502" width="11.140625" style="1050" customWidth="1"/>
    <col min="10503" max="10503" width="11.7109375" style="1050" customWidth="1"/>
    <col min="10504" max="10749" width="9.140625" style="1050"/>
    <col min="10750" max="10750" width="5.28515625" style="1050" customWidth="1"/>
    <col min="10751" max="10751" width="8" style="1050" customWidth="1"/>
    <col min="10752" max="10752" width="5.85546875" style="1050" customWidth="1"/>
    <col min="10753" max="10753" width="9.42578125" style="1050" customWidth="1"/>
    <col min="10754" max="10754" width="11.28515625" style="1050" customWidth="1"/>
    <col min="10755" max="10755" width="11" style="1050" customWidth="1"/>
    <col min="10756" max="10756" width="13.140625" style="1050" customWidth="1"/>
    <col min="10757" max="10757" width="11.7109375" style="1050" customWidth="1"/>
    <col min="10758" max="10758" width="11.140625" style="1050" customWidth="1"/>
    <col min="10759" max="10759" width="11.7109375" style="1050" customWidth="1"/>
    <col min="10760" max="11005" width="9.140625" style="1050"/>
    <col min="11006" max="11006" width="5.28515625" style="1050" customWidth="1"/>
    <col min="11007" max="11007" width="8" style="1050" customWidth="1"/>
    <col min="11008" max="11008" width="5.85546875" style="1050" customWidth="1"/>
    <col min="11009" max="11009" width="9.42578125" style="1050" customWidth="1"/>
    <col min="11010" max="11010" width="11.28515625" style="1050" customWidth="1"/>
    <col min="11011" max="11011" width="11" style="1050" customWidth="1"/>
    <col min="11012" max="11012" width="13.140625" style="1050" customWidth="1"/>
    <col min="11013" max="11013" width="11.7109375" style="1050" customWidth="1"/>
    <col min="11014" max="11014" width="11.140625" style="1050" customWidth="1"/>
    <col min="11015" max="11015" width="11.7109375" style="1050" customWidth="1"/>
    <col min="11016" max="11261" width="9.140625" style="1050"/>
    <col min="11262" max="11262" width="5.28515625" style="1050" customWidth="1"/>
    <col min="11263" max="11263" width="8" style="1050" customWidth="1"/>
    <col min="11264" max="11264" width="5.85546875" style="1050" customWidth="1"/>
    <col min="11265" max="11265" width="9.42578125" style="1050" customWidth="1"/>
    <col min="11266" max="11266" width="11.28515625" style="1050" customWidth="1"/>
    <col min="11267" max="11267" width="11" style="1050" customWidth="1"/>
    <col min="11268" max="11268" width="13.140625" style="1050" customWidth="1"/>
    <col min="11269" max="11269" width="11.7109375" style="1050" customWidth="1"/>
    <col min="11270" max="11270" width="11.140625" style="1050" customWidth="1"/>
    <col min="11271" max="11271" width="11.7109375" style="1050" customWidth="1"/>
    <col min="11272" max="11517" width="9.140625" style="1050"/>
    <col min="11518" max="11518" width="5.28515625" style="1050" customWidth="1"/>
    <col min="11519" max="11519" width="8" style="1050" customWidth="1"/>
    <col min="11520" max="11520" width="5.85546875" style="1050" customWidth="1"/>
    <col min="11521" max="11521" width="9.42578125" style="1050" customWidth="1"/>
    <col min="11522" max="11522" width="11.28515625" style="1050" customWidth="1"/>
    <col min="11523" max="11523" width="11" style="1050" customWidth="1"/>
    <col min="11524" max="11524" width="13.140625" style="1050" customWidth="1"/>
    <col min="11525" max="11525" width="11.7109375" style="1050" customWidth="1"/>
    <col min="11526" max="11526" width="11.140625" style="1050" customWidth="1"/>
    <col min="11527" max="11527" width="11.7109375" style="1050" customWidth="1"/>
    <col min="11528" max="11773" width="9.140625" style="1050"/>
    <col min="11774" max="11774" width="5.28515625" style="1050" customWidth="1"/>
    <col min="11775" max="11775" width="8" style="1050" customWidth="1"/>
    <col min="11776" max="11776" width="5.85546875" style="1050" customWidth="1"/>
    <col min="11777" max="11777" width="9.42578125" style="1050" customWidth="1"/>
    <col min="11778" max="11778" width="11.28515625" style="1050" customWidth="1"/>
    <col min="11779" max="11779" width="11" style="1050" customWidth="1"/>
    <col min="11780" max="11780" width="13.140625" style="1050" customWidth="1"/>
    <col min="11781" max="11781" width="11.7109375" style="1050" customWidth="1"/>
    <col min="11782" max="11782" width="11.140625" style="1050" customWidth="1"/>
    <col min="11783" max="11783" width="11.7109375" style="1050" customWidth="1"/>
    <col min="11784" max="12029" width="9.140625" style="1050"/>
    <col min="12030" max="12030" width="5.28515625" style="1050" customWidth="1"/>
    <col min="12031" max="12031" width="8" style="1050" customWidth="1"/>
    <col min="12032" max="12032" width="5.85546875" style="1050" customWidth="1"/>
    <col min="12033" max="12033" width="9.42578125" style="1050" customWidth="1"/>
    <col min="12034" max="12034" width="11.28515625" style="1050" customWidth="1"/>
    <col min="12035" max="12035" width="11" style="1050" customWidth="1"/>
    <col min="12036" max="12036" width="13.140625" style="1050" customWidth="1"/>
    <col min="12037" max="12037" width="11.7109375" style="1050" customWidth="1"/>
    <col min="12038" max="12038" width="11.140625" style="1050" customWidth="1"/>
    <col min="12039" max="12039" width="11.7109375" style="1050" customWidth="1"/>
    <col min="12040" max="12285" width="9.140625" style="1050"/>
    <col min="12286" max="12286" width="5.28515625" style="1050" customWidth="1"/>
    <col min="12287" max="12287" width="8" style="1050" customWidth="1"/>
    <col min="12288" max="12288" width="5.85546875" style="1050" customWidth="1"/>
    <col min="12289" max="12289" width="9.42578125" style="1050" customWidth="1"/>
    <col min="12290" max="12290" width="11.28515625" style="1050" customWidth="1"/>
    <col min="12291" max="12291" width="11" style="1050" customWidth="1"/>
    <col min="12292" max="12292" width="13.140625" style="1050" customWidth="1"/>
    <col min="12293" max="12293" width="11.7109375" style="1050" customWidth="1"/>
    <col min="12294" max="12294" width="11.140625" style="1050" customWidth="1"/>
    <col min="12295" max="12295" width="11.7109375" style="1050" customWidth="1"/>
    <col min="12296" max="12541" width="9.140625" style="1050"/>
    <col min="12542" max="12542" width="5.28515625" style="1050" customWidth="1"/>
    <col min="12543" max="12543" width="8" style="1050" customWidth="1"/>
    <col min="12544" max="12544" width="5.85546875" style="1050" customWidth="1"/>
    <col min="12545" max="12545" width="9.42578125" style="1050" customWidth="1"/>
    <col min="12546" max="12546" width="11.28515625" style="1050" customWidth="1"/>
    <col min="12547" max="12547" width="11" style="1050" customWidth="1"/>
    <col min="12548" max="12548" width="13.140625" style="1050" customWidth="1"/>
    <col min="12549" max="12549" width="11.7109375" style="1050" customWidth="1"/>
    <col min="12550" max="12550" width="11.140625" style="1050" customWidth="1"/>
    <col min="12551" max="12551" width="11.7109375" style="1050" customWidth="1"/>
    <col min="12552" max="12797" width="9.140625" style="1050"/>
    <col min="12798" max="12798" width="5.28515625" style="1050" customWidth="1"/>
    <col min="12799" max="12799" width="8" style="1050" customWidth="1"/>
    <col min="12800" max="12800" width="5.85546875" style="1050" customWidth="1"/>
    <col min="12801" max="12801" width="9.42578125" style="1050" customWidth="1"/>
    <col min="12802" max="12802" width="11.28515625" style="1050" customWidth="1"/>
    <col min="12803" max="12803" width="11" style="1050" customWidth="1"/>
    <col min="12804" max="12804" width="13.140625" style="1050" customWidth="1"/>
    <col min="12805" max="12805" width="11.7109375" style="1050" customWidth="1"/>
    <col min="12806" max="12806" width="11.140625" style="1050" customWidth="1"/>
    <col min="12807" max="12807" width="11.7109375" style="1050" customWidth="1"/>
    <col min="12808" max="13053" width="9.140625" style="1050"/>
    <col min="13054" max="13054" width="5.28515625" style="1050" customWidth="1"/>
    <col min="13055" max="13055" width="8" style="1050" customWidth="1"/>
    <col min="13056" max="13056" width="5.85546875" style="1050" customWidth="1"/>
    <col min="13057" max="13057" width="9.42578125" style="1050" customWidth="1"/>
    <col min="13058" max="13058" width="11.28515625" style="1050" customWidth="1"/>
    <col min="13059" max="13059" width="11" style="1050" customWidth="1"/>
    <col min="13060" max="13060" width="13.140625" style="1050" customWidth="1"/>
    <col min="13061" max="13061" width="11.7109375" style="1050" customWidth="1"/>
    <col min="13062" max="13062" width="11.140625" style="1050" customWidth="1"/>
    <col min="13063" max="13063" width="11.7109375" style="1050" customWidth="1"/>
    <col min="13064" max="13309" width="9.140625" style="1050"/>
    <col min="13310" max="13310" width="5.28515625" style="1050" customWidth="1"/>
    <col min="13311" max="13311" width="8" style="1050" customWidth="1"/>
    <col min="13312" max="13312" width="5.85546875" style="1050" customWidth="1"/>
    <col min="13313" max="13313" width="9.42578125" style="1050" customWidth="1"/>
    <col min="13314" max="13314" width="11.28515625" style="1050" customWidth="1"/>
    <col min="13315" max="13315" width="11" style="1050" customWidth="1"/>
    <col min="13316" max="13316" width="13.140625" style="1050" customWidth="1"/>
    <col min="13317" max="13317" width="11.7109375" style="1050" customWidth="1"/>
    <col min="13318" max="13318" width="11.140625" style="1050" customWidth="1"/>
    <col min="13319" max="13319" width="11.7109375" style="1050" customWidth="1"/>
    <col min="13320" max="13565" width="9.140625" style="1050"/>
    <col min="13566" max="13566" width="5.28515625" style="1050" customWidth="1"/>
    <col min="13567" max="13567" width="8" style="1050" customWidth="1"/>
    <col min="13568" max="13568" width="5.85546875" style="1050" customWidth="1"/>
    <col min="13569" max="13569" width="9.42578125" style="1050" customWidth="1"/>
    <col min="13570" max="13570" width="11.28515625" style="1050" customWidth="1"/>
    <col min="13571" max="13571" width="11" style="1050" customWidth="1"/>
    <col min="13572" max="13572" width="13.140625" style="1050" customWidth="1"/>
    <col min="13573" max="13573" width="11.7109375" style="1050" customWidth="1"/>
    <col min="13574" max="13574" width="11.140625" style="1050" customWidth="1"/>
    <col min="13575" max="13575" width="11.7109375" style="1050" customWidth="1"/>
    <col min="13576" max="13821" width="9.140625" style="1050"/>
    <col min="13822" max="13822" width="5.28515625" style="1050" customWidth="1"/>
    <col min="13823" max="13823" width="8" style="1050" customWidth="1"/>
    <col min="13824" max="13824" width="5.85546875" style="1050" customWidth="1"/>
    <col min="13825" max="13825" width="9.42578125" style="1050" customWidth="1"/>
    <col min="13826" max="13826" width="11.28515625" style="1050" customWidth="1"/>
    <col min="13827" max="13827" width="11" style="1050" customWidth="1"/>
    <col min="13828" max="13828" width="13.140625" style="1050" customWidth="1"/>
    <col min="13829" max="13829" width="11.7109375" style="1050" customWidth="1"/>
    <col min="13830" max="13830" width="11.140625" style="1050" customWidth="1"/>
    <col min="13831" max="13831" width="11.7109375" style="1050" customWidth="1"/>
    <col min="13832" max="14077" width="9.140625" style="1050"/>
    <col min="14078" max="14078" width="5.28515625" style="1050" customWidth="1"/>
    <col min="14079" max="14079" width="8" style="1050" customWidth="1"/>
    <col min="14080" max="14080" width="5.85546875" style="1050" customWidth="1"/>
    <col min="14081" max="14081" width="9.42578125" style="1050" customWidth="1"/>
    <col min="14082" max="14082" width="11.28515625" style="1050" customWidth="1"/>
    <col min="14083" max="14083" width="11" style="1050" customWidth="1"/>
    <col min="14084" max="14084" width="13.140625" style="1050" customWidth="1"/>
    <col min="14085" max="14085" width="11.7109375" style="1050" customWidth="1"/>
    <col min="14086" max="14086" width="11.140625" style="1050" customWidth="1"/>
    <col min="14087" max="14087" width="11.7109375" style="1050" customWidth="1"/>
    <col min="14088" max="14333" width="9.140625" style="1050"/>
    <col min="14334" max="14334" width="5.28515625" style="1050" customWidth="1"/>
    <col min="14335" max="14335" width="8" style="1050" customWidth="1"/>
    <col min="14336" max="14336" width="5.85546875" style="1050" customWidth="1"/>
    <col min="14337" max="14337" width="9.42578125" style="1050" customWidth="1"/>
    <col min="14338" max="14338" width="11.28515625" style="1050" customWidth="1"/>
    <col min="14339" max="14339" width="11" style="1050" customWidth="1"/>
    <col min="14340" max="14340" width="13.140625" style="1050" customWidth="1"/>
    <col min="14341" max="14341" width="11.7109375" style="1050" customWidth="1"/>
    <col min="14342" max="14342" width="11.140625" style="1050" customWidth="1"/>
    <col min="14343" max="14343" width="11.7109375" style="1050" customWidth="1"/>
    <col min="14344" max="14589" width="9.140625" style="1050"/>
    <col min="14590" max="14590" width="5.28515625" style="1050" customWidth="1"/>
    <col min="14591" max="14591" width="8" style="1050" customWidth="1"/>
    <col min="14592" max="14592" width="5.85546875" style="1050" customWidth="1"/>
    <col min="14593" max="14593" width="9.42578125" style="1050" customWidth="1"/>
    <col min="14594" max="14594" width="11.28515625" style="1050" customWidth="1"/>
    <col min="14595" max="14595" width="11" style="1050" customWidth="1"/>
    <col min="14596" max="14596" width="13.140625" style="1050" customWidth="1"/>
    <col min="14597" max="14597" width="11.7109375" style="1050" customWidth="1"/>
    <col min="14598" max="14598" width="11.140625" style="1050" customWidth="1"/>
    <col min="14599" max="14599" width="11.7109375" style="1050" customWidth="1"/>
    <col min="14600" max="14845" width="9.140625" style="1050"/>
    <col min="14846" max="14846" width="5.28515625" style="1050" customWidth="1"/>
    <col min="14847" max="14847" width="8" style="1050" customWidth="1"/>
    <col min="14848" max="14848" width="5.85546875" style="1050" customWidth="1"/>
    <col min="14849" max="14849" width="9.42578125" style="1050" customWidth="1"/>
    <col min="14850" max="14850" width="11.28515625" style="1050" customWidth="1"/>
    <col min="14851" max="14851" width="11" style="1050" customWidth="1"/>
    <col min="14852" max="14852" width="13.140625" style="1050" customWidth="1"/>
    <col min="14853" max="14853" width="11.7109375" style="1050" customWidth="1"/>
    <col min="14854" max="14854" width="11.140625" style="1050" customWidth="1"/>
    <col min="14855" max="14855" width="11.7109375" style="1050" customWidth="1"/>
    <col min="14856" max="15101" width="9.140625" style="1050"/>
    <col min="15102" max="15102" width="5.28515625" style="1050" customWidth="1"/>
    <col min="15103" max="15103" width="8" style="1050" customWidth="1"/>
    <col min="15104" max="15104" width="5.85546875" style="1050" customWidth="1"/>
    <col min="15105" max="15105" width="9.42578125" style="1050" customWidth="1"/>
    <col min="15106" max="15106" width="11.28515625" style="1050" customWidth="1"/>
    <col min="15107" max="15107" width="11" style="1050" customWidth="1"/>
    <col min="15108" max="15108" width="13.140625" style="1050" customWidth="1"/>
    <col min="15109" max="15109" width="11.7109375" style="1050" customWidth="1"/>
    <col min="15110" max="15110" width="11.140625" style="1050" customWidth="1"/>
    <col min="15111" max="15111" width="11.7109375" style="1050" customWidth="1"/>
    <col min="15112" max="15357" width="9.140625" style="1050"/>
    <col min="15358" max="15358" width="5.28515625" style="1050" customWidth="1"/>
    <col min="15359" max="15359" width="8" style="1050" customWidth="1"/>
    <col min="15360" max="15360" width="5.85546875" style="1050" customWidth="1"/>
    <col min="15361" max="15361" width="9.42578125" style="1050" customWidth="1"/>
    <col min="15362" max="15362" width="11.28515625" style="1050" customWidth="1"/>
    <col min="15363" max="15363" width="11" style="1050" customWidth="1"/>
    <col min="15364" max="15364" width="13.140625" style="1050" customWidth="1"/>
    <col min="15365" max="15365" width="11.7109375" style="1050" customWidth="1"/>
    <col min="15366" max="15366" width="11.140625" style="1050" customWidth="1"/>
    <col min="15367" max="15367" width="11.7109375" style="1050" customWidth="1"/>
    <col min="15368" max="15613" width="9.140625" style="1050"/>
    <col min="15614" max="15614" width="5.28515625" style="1050" customWidth="1"/>
    <col min="15615" max="15615" width="8" style="1050" customWidth="1"/>
    <col min="15616" max="15616" width="5.85546875" style="1050" customWidth="1"/>
    <col min="15617" max="15617" width="9.42578125" style="1050" customWidth="1"/>
    <col min="15618" max="15618" width="11.28515625" style="1050" customWidth="1"/>
    <col min="15619" max="15619" width="11" style="1050" customWidth="1"/>
    <col min="15620" max="15620" width="13.140625" style="1050" customWidth="1"/>
    <col min="15621" max="15621" width="11.7109375" style="1050" customWidth="1"/>
    <col min="15622" max="15622" width="11.140625" style="1050" customWidth="1"/>
    <col min="15623" max="15623" width="11.7109375" style="1050" customWidth="1"/>
    <col min="15624" max="15869" width="9.140625" style="1050"/>
    <col min="15870" max="15870" width="5.28515625" style="1050" customWidth="1"/>
    <col min="15871" max="15871" width="8" style="1050" customWidth="1"/>
    <col min="15872" max="15872" width="5.85546875" style="1050" customWidth="1"/>
    <col min="15873" max="15873" width="9.42578125" style="1050" customWidth="1"/>
    <col min="15874" max="15874" width="11.28515625" style="1050" customWidth="1"/>
    <col min="15875" max="15875" width="11" style="1050" customWidth="1"/>
    <col min="15876" max="15876" width="13.140625" style="1050" customWidth="1"/>
    <col min="15877" max="15877" width="11.7109375" style="1050" customWidth="1"/>
    <col min="15878" max="15878" width="11.140625" style="1050" customWidth="1"/>
    <col min="15879" max="15879" width="11.7109375" style="1050" customWidth="1"/>
    <col min="15880" max="16125" width="9.140625" style="1050"/>
    <col min="16126" max="16126" width="5.28515625" style="1050" customWidth="1"/>
    <col min="16127" max="16127" width="8" style="1050" customWidth="1"/>
    <col min="16128" max="16128" width="5.85546875" style="1050" customWidth="1"/>
    <col min="16129" max="16129" width="9.42578125" style="1050" customWidth="1"/>
    <col min="16130" max="16130" width="11.28515625" style="1050" customWidth="1"/>
    <col min="16131" max="16131" width="11" style="1050" customWidth="1"/>
    <col min="16132" max="16132" width="13.140625" style="1050" customWidth="1"/>
    <col min="16133" max="16133" width="11.7109375" style="1050" customWidth="1"/>
    <col min="16134" max="16134" width="11.140625" style="1050" customWidth="1"/>
    <col min="16135" max="16135" width="11.7109375" style="1050" customWidth="1"/>
    <col min="16136" max="16384" width="9.140625" style="1050"/>
  </cols>
  <sheetData>
    <row r="1" spans="1:72" ht="12.75" customHeight="1" x14ac:dyDescent="0.25">
      <c r="A1" s="1123"/>
      <c r="F1" s="842" t="s">
        <v>1322</v>
      </c>
    </row>
    <row r="2" spans="1:72" ht="12.75" customHeight="1" x14ac:dyDescent="0.25">
      <c r="F2" s="844" t="s">
        <v>80</v>
      </c>
    </row>
    <row r="3" spans="1:72" ht="12.75" customHeight="1" x14ac:dyDescent="0.25">
      <c r="F3" s="844" t="s">
        <v>81</v>
      </c>
    </row>
    <row r="4" spans="1:72" ht="12.75" customHeight="1" x14ac:dyDescent="0.25">
      <c r="F4" s="844" t="s">
        <v>82</v>
      </c>
    </row>
    <row r="5" spans="1:72" ht="12.75" customHeight="1" x14ac:dyDescent="0.25"/>
    <row r="6" spans="1:72" ht="12.75" customHeight="1" x14ac:dyDescent="0.25"/>
    <row r="7" spans="1:72" ht="36.75" customHeight="1" x14ac:dyDescent="0.25">
      <c r="A7" s="1049" t="s">
        <v>1323</v>
      </c>
      <c r="B7" s="1049"/>
      <c r="C7" s="1049"/>
      <c r="D7" s="1049"/>
      <c r="E7" s="1049"/>
      <c r="F7" s="1049"/>
      <c r="G7" s="1049"/>
      <c r="J7" s="1047"/>
    </row>
    <row r="8" spans="1:72" ht="10.5" customHeight="1" x14ac:dyDescent="0.25">
      <c r="A8" s="1124"/>
      <c r="B8" s="1125"/>
      <c r="C8" s="1125"/>
      <c r="D8" s="1125"/>
      <c r="E8" s="1125"/>
      <c r="F8" s="1125"/>
      <c r="G8" s="1125"/>
      <c r="J8" s="1047"/>
    </row>
    <row r="9" spans="1:72" ht="30.75" customHeight="1" x14ac:dyDescent="0.25">
      <c r="G9" s="1126" t="s">
        <v>2</v>
      </c>
    </row>
    <row r="10" spans="1:72" s="1130" customFormat="1" ht="36.75" customHeight="1" x14ac:dyDescent="0.2">
      <c r="A10" s="1127" t="s">
        <v>950</v>
      </c>
      <c r="B10" s="1127" t="s">
        <v>1173</v>
      </c>
      <c r="C10" s="1127" t="s">
        <v>1324</v>
      </c>
      <c r="D10" s="1127" t="s">
        <v>1132</v>
      </c>
      <c r="E10" s="1128" t="s">
        <v>91</v>
      </c>
      <c r="F10" s="1128" t="s">
        <v>1325</v>
      </c>
      <c r="G10" s="1128" t="s">
        <v>1326</v>
      </c>
      <c r="H10" s="1129"/>
      <c r="I10" s="1129"/>
      <c r="J10" s="1129"/>
      <c r="K10" s="1129"/>
      <c r="L10" s="1129"/>
      <c r="M10" s="1129"/>
      <c r="N10" s="1129"/>
      <c r="O10" s="1129"/>
      <c r="P10" s="1129"/>
      <c r="Q10" s="1129"/>
      <c r="R10" s="1129"/>
      <c r="S10" s="1129"/>
      <c r="T10" s="1129"/>
      <c r="U10" s="1129"/>
      <c r="V10" s="1129"/>
      <c r="W10" s="1129"/>
      <c r="X10" s="1129"/>
      <c r="Y10" s="1129"/>
      <c r="Z10" s="1129"/>
      <c r="AA10" s="1129"/>
      <c r="AB10" s="1129"/>
      <c r="AC10" s="1129"/>
      <c r="AD10" s="1129"/>
      <c r="AE10" s="1129"/>
      <c r="AF10" s="1129"/>
      <c r="AG10" s="1129"/>
      <c r="AH10" s="1129"/>
      <c r="AI10" s="1129"/>
      <c r="AJ10" s="1129"/>
      <c r="AK10" s="1129"/>
      <c r="AL10" s="1129"/>
      <c r="AM10" s="1129"/>
      <c r="AN10" s="1129"/>
      <c r="AO10" s="1129"/>
      <c r="AP10" s="1129"/>
      <c r="AQ10" s="1129"/>
      <c r="AR10" s="1129"/>
      <c r="AS10" s="1129"/>
      <c r="AT10" s="1129"/>
      <c r="AU10" s="1129"/>
      <c r="AV10" s="1129"/>
      <c r="AW10" s="1129"/>
      <c r="AX10" s="1129"/>
      <c r="AY10" s="1129"/>
      <c r="AZ10" s="1129"/>
      <c r="BA10" s="1129"/>
      <c r="BB10" s="1129"/>
      <c r="BC10" s="1129"/>
      <c r="BD10" s="1129"/>
      <c r="BE10" s="1129"/>
      <c r="BF10" s="1129"/>
      <c r="BG10" s="1129"/>
      <c r="BH10" s="1129"/>
      <c r="BI10" s="1129"/>
      <c r="BJ10" s="1129"/>
      <c r="BK10" s="1129"/>
      <c r="BL10" s="1129"/>
      <c r="BM10" s="1129"/>
      <c r="BN10" s="1129"/>
      <c r="BO10" s="1129"/>
      <c r="BP10" s="1129"/>
      <c r="BQ10" s="1129"/>
      <c r="BR10" s="1129"/>
      <c r="BS10" s="1129"/>
      <c r="BT10" s="1129"/>
    </row>
    <row r="11" spans="1:72" s="1133" customFormat="1" ht="10.5" customHeight="1" x14ac:dyDescent="0.2">
      <c r="A11" s="1131">
        <v>1</v>
      </c>
      <c r="B11" s="1131">
        <v>2</v>
      </c>
      <c r="C11" s="1131">
        <v>3</v>
      </c>
      <c r="D11" s="1131">
        <v>4</v>
      </c>
      <c r="E11" s="1131">
        <v>5</v>
      </c>
      <c r="F11" s="1131">
        <v>6</v>
      </c>
      <c r="G11" s="1131">
        <v>7</v>
      </c>
      <c r="H11" s="1132"/>
      <c r="I11" s="1132"/>
      <c r="J11" s="1132"/>
      <c r="K11" s="1132"/>
      <c r="L11" s="1132"/>
      <c r="M11" s="1132"/>
      <c r="N11" s="1132"/>
      <c r="O11" s="1132"/>
      <c r="P11" s="1132"/>
      <c r="Q11" s="1132"/>
      <c r="R11" s="1132"/>
      <c r="S11" s="1132"/>
      <c r="T11" s="1132"/>
      <c r="U11" s="1132"/>
      <c r="V11" s="1132"/>
      <c r="W11" s="1132"/>
      <c r="X11" s="1132"/>
      <c r="Y11" s="1132"/>
      <c r="Z11" s="1132"/>
      <c r="AA11" s="1132"/>
      <c r="AB11" s="1132"/>
      <c r="AC11" s="1132"/>
      <c r="AD11" s="1132"/>
      <c r="AE11" s="1132"/>
      <c r="AF11" s="1132"/>
      <c r="AG11" s="1132"/>
      <c r="AH11" s="1132"/>
      <c r="AI11" s="1132"/>
      <c r="AJ11" s="1132"/>
      <c r="AK11" s="1132"/>
      <c r="AL11" s="1132"/>
      <c r="AM11" s="1132"/>
      <c r="AN11" s="1132"/>
      <c r="AO11" s="1132"/>
      <c r="AP11" s="1132"/>
      <c r="AQ11" s="1132"/>
      <c r="AR11" s="1132"/>
      <c r="AS11" s="1132"/>
      <c r="AT11" s="1132"/>
      <c r="AU11" s="1132"/>
      <c r="AV11" s="1132"/>
      <c r="AW11" s="1132"/>
      <c r="AX11" s="1132"/>
      <c r="AY11" s="1132"/>
      <c r="AZ11" s="1132"/>
      <c r="BA11" s="1132"/>
      <c r="BB11" s="1132"/>
      <c r="BC11" s="1132"/>
      <c r="BD11" s="1132"/>
      <c r="BE11" s="1132"/>
      <c r="BF11" s="1132"/>
      <c r="BG11" s="1132"/>
      <c r="BH11" s="1132"/>
      <c r="BI11" s="1132"/>
      <c r="BJ11" s="1132"/>
      <c r="BK11" s="1132"/>
      <c r="BL11" s="1132"/>
      <c r="BM11" s="1132"/>
      <c r="BN11" s="1132"/>
      <c r="BO11" s="1132"/>
      <c r="BP11" s="1132"/>
      <c r="BQ11" s="1132"/>
      <c r="BR11" s="1132"/>
      <c r="BS11" s="1132"/>
      <c r="BT11" s="1132"/>
    </row>
    <row r="12" spans="1:72" s="1123" customFormat="1" ht="18.75" customHeight="1" x14ac:dyDescent="0.2">
      <c r="A12" s="1134"/>
      <c r="B12" s="1135"/>
      <c r="C12" s="1136"/>
      <c r="D12" s="1136"/>
      <c r="E12" s="1137" t="s">
        <v>425</v>
      </c>
      <c r="F12" s="1138">
        <v>30000000</v>
      </c>
      <c r="G12" s="1139" t="s">
        <v>720</v>
      </c>
      <c r="H12" s="1140"/>
      <c r="I12" s="1079"/>
      <c r="J12" s="1079"/>
      <c r="K12" s="1079"/>
      <c r="L12" s="1079"/>
      <c r="M12" s="1079"/>
      <c r="N12" s="1079"/>
      <c r="O12" s="1079"/>
      <c r="P12" s="1079"/>
      <c r="Q12" s="1079"/>
      <c r="R12" s="1079"/>
      <c r="S12" s="1079"/>
      <c r="T12" s="1079"/>
      <c r="U12" s="1079"/>
      <c r="V12" s="1079"/>
      <c r="W12" s="1079"/>
      <c r="X12" s="1079"/>
      <c r="Y12" s="1079"/>
      <c r="Z12" s="1079"/>
      <c r="AA12" s="1079"/>
      <c r="AB12" s="1079"/>
      <c r="AC12" s="1079"/>
      <c r="AD12" s="1079"/>
      <c r="AE12" s="1079"/>
      <c r="AF12" s="1079"/>
      <c r="AG12" s="1079"/>
      <c r="AH12" s="1079"/>
      <c r="AI12" s="1079"/>
      <c r="AJ12" s="1079"/>
      <c r="AK12" s="1079"/>
      <c r="AL12" s="1079"/>
      <c r="AM12" s="1079"/>
      <c r="AN12" s="1079"/>
      <c r="AO12" s="1079"/>
      <c r="AP12" s="1079"/>
      <c r="AQ12" s="1079"/>
      <c r="AR12" s="1079"/>
      <c r="AS12" s="1079"/>
      <c r="AT12" s="1079"/>
      <c r="AU12" s="1079"/>
      <c r="AV12" s="1079"/>
      <c r="AW12" s="1079"/>
      <c r="AX12" s="1079"/>
      <c r="AY12" s="1079"/>
      <c r="AZ12" s="1079"/>
      <c r="BA12" s="1079"/>
      <c r="BB12" s="1079"/>
      <c r="BC12" s="1079"/>
      <c r="BD12" s="1079"/>
      <c r="BE12" s="1079"/>
      <c r="BF12" s="1079"/>
      <c r="BG12" s="1079"/>
      <c r="BH12" s="1079"/>
      <c r="BI12" s="1079"/>
      <c r="BJ12" s="1079"/>
      <c r="BK12" s="1079"/>
      <c r="BL12" s="1079"/>
      <c r="BM12" s="1079"/>
      <c r="BN12" s="1079"/>
      <c r="BO12" s="1079"/>
      <c r="BP12" s="1079"/>
      <c r="BQ12" s="1079"/>
      <c r="BR12" s="1079"/>
      <c r="BS12" s="1079"/>
      <c r="BT12" s="1079"/>
    </row>
    <row r="13" spans="1:72" s="1130" customFormat="1" ht="45.75" customHeight="1" x14ac:dyDescent="0.2">
      <c r="A13" s="1141" t="s">
        <v>1075</v>
      </c>
      <c r="B13" s="1142" t="s">
        <v>1327</v>
      </c>
      <c r="C13" s="1143" t="s">
        <v>24</v>
      </c>
      <c r="D13" s="1143" t="s">
        <v>420</v>
      </c>
      <c r="E13" s="1144" t="s">
        <v>720</v>
      </c>
      <c r="F13" s="1145" t="s">
        <v>720</v>
      </c>
      <c r="G13" s="1146">
        <f>SUM(G15:G16)</f>
        <v>35000000</v>
      </c>
      <c r="H13" s="1129"/>
      <c r="I13" s="1129"/>
      <c r="J13" s="1129"/>
      <c r="K13" s="1129"/>
      <c r="L13" s="1129"/>
      <c r="M13" s="1129"/>
      <c r="N13" s="1129"/>
      <c r="O13" s="1129"/>
      <c r="P13" s="1129"/>
      <c r="Q13" s="1129"/>
      <c r="R13" s="1129"/>
      <c r="S13" s="1129"/>
      <c r="T13" s="1129"/>
      <c r="U13" s="1129"/>
      <c r="V13" s="1129"/>
      <c r="W13" s="1129"/>
      <c r="X13" s="1129"/>
      <c r="Y13" s="1129"/>
      <c r="Z13" s="1129"/>
      <c r="AA13" s="1129"/>
      <c r="AB13" s="1129"/>
      <c r="AC13" s="1129"/>
      <c r="AD13" s="1129"/>
      <c r="AE13" s="1129"/>
      <c r="AF13" s="1129"/>
      <c r="AG13" s="1129"/>
      <c r="AH13" s="1129"/>
      <c r="AI13" s="1129"/>
      <c r="AJ13" s="1129"/>
      <c r="AK13" s="1129"/>
      <c r="AL13" s="1129"/>
      <c r="AM13" s="1129"/>
      <c r="AN13" s="1129"/>
      <c r="AO13" s="1129"/>
      <c r="AP13" s="1129"/>
      <c r="AQ13" s="1129"/>
      <c r="AR13" s="1129"/>
      <c r="AS13" s="1129"/>
      <c r="AT13" s="1129"/>
      <c r="AU13" s="1129"/>
      <c r="AV13" s="1129"/>
      <c r="AW13" s="1129"/>
      <c r="AX13" s="1129"/>
      <c r="AY13" s="1129"/>
      <c r="AZ13" s="1129"/>
      <c r="BA13" s="1129"/>
      <c r="BB13" s="1129"/>
      <c r="BC13" s="1129"/>
      <c r="BD13" s="1129"/>
      <c r="BE13" s="1129"/>
      <c r="BF13" s="1129"/>
      <c r="BG13" s="1129"/>
      <c r="BH13" s="1129"/>
      <c r="BI13" s="1129"/>
      <c r="BJ13" s="1129"/>
      <c r="BK13" s="1129"/>
      <c r="BL13" s="1129"/>
      <c r="BM13" s="1129"/>
      <c r="BN13" s="1129"/>
      <c r="BO13" s="1129"/>
      <c r="BP13" s="1129"/>
      <c r="BQ13" s="1129"/>
      <c r="BR13" s="1129"/>
      <c r="BS13" s="1129"/>
      <c r="BT13" s="1129"/>
    </row>
    <row r="14" spans="1:72" s="1130" customFormat="1" ht="15.75" customHeight="1" x14ac:dyDescent="0.2">
      <c r="A14" s="1134"/>
      <c r="B14" s="1147" t="s">
        <v>540</v>
      </c>
      <c r="C14" s="1148"/>
      <c r="D14" s="1148"/>
      <c r="E14" s="1148"/>
      <c r="F14" s="1149"/>
      <c r="G14" s="1150"/>
      <c r="H14" s="1129"/>
      <c r="I14" s="1129"/>
      <c r="J14" s="1129"/>
      <c r="K14" s="1129"/>
      <c r="L14" s="1129"/>
      <c r="M14" s="1129"/>
      <c r="N14" s="1129"/>
      <c r="O14" s="1129"/>
      <c r="P14" s="1129"/>
      <c r="Q14" s="1129"/>
      <c r="R14" s="1129"/>
      <c r="S14" s="1129"/>
      <c r="T14" s="1129"/>
      <c r="U14" s="1129"/>
      <c r="V14" s="1129"/>
      <c r="W14" s="1129"/>
      <c r="X14" s="1129"/>
      <c r="Y14" s="1129"/>
      <c r="Z14" s="1129"/>
      <c r="AA14" s="1129"/>
      <c r="AB14" s="1129"/>
      <c r="AC14" s="1129"/>
      <c r="AD14" s="1129"/>
      <c r="AE14" s="1129"/>
      <c r="AF14" s="1129"/>
      <c r="AG14" s="1129"/>
      <c r="AH14" s="1129"/>
      <c r="AI14" s="1129"/>
      <c r="AJ14" s="1129"/>
      <c r="AK14" s="1129"/>
      <c r="AL14" s="1129"/>
      <c r="AM14" s="1129"/>
      <c r="AN14" s="1129"/>
      <c r="AO14" s="1129"/>
      <c r="AP14" s="1129"/>
      <c r="AQ14" s="1129"/>
      <c r="AR14" s="1129"/>
      <c r="AS14" s="1129"/>
      <c r="AT14" s="1129"/>
      <c r="AU14" s="1129"/>
      <c r="AV14" s="1129"/>
      <c r="AW14" s="1129"/>
      <c r="AX14" s="1129"/>
      <c r="AY14" s="1129"/>
      <c r="AZ14" s="1129"/>
      <c r="BA14" s="1129"/>
      <c r="BB14" s="1129"/>
      <c r="BC14" s="1129"/>
      <c r="BD14" s="1129"/>
      <c r="BE14" s="1129"/>
      <c r="BF14" s="1129"/>
      <c r="BG14" s="1129"/>
      <c r="BH14" s="1129"/>
      <c r="BI14" s="1129"/>
      <c r="BJ14" s="1129"/>
      <c r="BK14" s="1129"/>
      <c r="BL14" s="1129"/>
      <c r="BM14" s="1129"/>
      <c r="BN14" s="1129"/>
      <c r="BO14" s="1129"/>
      <c r="BP14" s="1129"/>
      <c r="BQ14" s="1129"/>
      <c r="BR14" s="1129"/>
      <c r="BS14" s="1129"/>
      <c r="BT14" s="1129"/>
    </row>
    <row r="15" spans="1:72" s="1130" customFormat="1" ht="21.75" customHeight="1" x14ac:dyDescent="0.2">
      <c r="A15" s="1134"/>
      <c r="B15" s="1151" t="s">
        <v>1328</v>
      </c>
      <c r="C15" s="1148"/>
      <c r="D15" s="1148"/>
      <c r="E15" s="1148" t="s">
        <v>425</v>
      </c>
      <c r="F15" s="1152" t="s">
        <v>720</v>
      </c>
      <c r="G15" s="1153">
        <v>30000000</v>
      </c>
      <c r="H15" s="1129"/>
      <c r="I15" s="1129"/>
      <c r="J15" s="1129"/>
      <c r="K15" s="1129"/>
      <c r="L15" s="1129"/>
      <c r="M15" s="1129"/>
      <c r="N15" s="1129"/>
      <c r="O15" s="1129"/>
      <c r="P15" s="1129"/>
      <c r="Q15" s="1129"/>
      <c r="R15" s="1129"/>
      <c r="S15" s="1129"/>
      <c r="T15" s="1129"/>
      <c r="U15" s="1129"/>
      <c r="V15" s="1129"/>
      <c r="W15" s="1129"/>
      <c r="X15" s="1129"/>
      <c r="Y15" s="1129"/>
      <c r="Z15" s="1129"/>
      <c r="AA15" s="1129"/>
      <c r="AB15" s="1129"/>
      <c r="AC15" s="1129"/>
      <c r="AD15" s="1129"/>
      <c r="AE15" s="1129"/>
      <c r="AF15" s="1129"/>
      <c r="AG15" s="1129"/>
      <c r="AH15" s="1129"/>
      <c r="AI15" s="1129"/>
      <c r="AJ15" s="1129"/>
      <c r="AK15" s="1129"/>
      <c r="AL15" s="1129"/>
      <c r="AM15" s="1129"/>
      <c r="AN15" s="1129"/>
      <c r="AO15" s="1129"/>
      <c r="AP15" s="1129"/>
      <c r="AQ15" s="1129"/>
      <c r="AR15" s="1129"/>
      <c r="AS15" s="1129"/>
      <c r="AT15" s="1129"/>
      <c r="AU15" s="1129"/>
      <c r="AV15" s="1129"/>
      <c r="AW15" s="1129"/>
      <c r="AX15" s="1129"/>
      <c r="AY15" s="1129"/>
      <c r="AZ15" s="1129"/>
      <c r="BA15" s="1129"/>
      <c r="BB15" s="1129"/>
      <c r="BC15" s="1129"/>
      <c r="BD15" s="1129"/>
      <c r="BE15" s="1129"/>
      <c r="BF15" s="1129"/>
      <c r="BG15" s="1129"/>
      <c r="BH15" s="1129"/>
      <c r="BI15" s="1129"/>
      <c r="BJ15" s="1129"/>
      <c r="BK15" s="1129"/>
      <c r="BL15" s="1129"/>
      <c r="BM15" s="1129"/>
      <c r="BN15" s="1129"/>
      <c r="BO15" s="1129"/>
      <c r="BP15" s="1129"/>
      <c r="BQ15" s="1129"/>
      <c r="BR15" s="1129"/>
      <c r="BS15" s="1129"/>
      <c r="BT15" s="1129"/>
    </row>
    <row r="16" spans="1:72" s="1157" customFormat="1" ht="15.75" customHeight="1" x14ac:dyDescent="0.2">
      <c r="A16" s="1154"/>
      <c r="B16" s="1147" t="s">
        <v>1329</v>
      </c>
      <c r="C16" s="1155"/>
      <c r="D16" s="1155"/>
      <c r="E16" s="1148" t="s">
        <v>902</v>
      </c>
      <c r="F16" s="1152" t="s">
        <v>720</v>
      </c>
      <c r="G16" s="1153">
        <v>5000000</v>
      </c>
      <c r="H16" s="1156"/>
      <c r="I16" s="1156"/>
      <c r="J16" s="1156"/>
      <c r="K16" s="1156"/>
      <c r="L16" s="1156"/>
      <c r="M16" s="1156"/>
      <c r="N16" s="1156"/>
      <c r="O16" s="1156"/>
      <c r="P16" s="1156"/>
      <c r="Q16" s="1156"/>
      <c r="R16" s="1156"/>
      <c r="S16" s="1156"/>
      <c r="T16" s="1156"/>
      <c r="U16" s="1156"/>
      <c r="V16" s="1156"/>
      <c r="W16" s="1156"/>
      <c r="X16" s="1156"/>
      <c r="Y16" s="1156"/>
      <c r="Z16" s="1156"/>
      <c r="AA16" s="1156"/>
      <c r="AB16" s="1156"/>
      <c r="AC16" s="1156"/>
      <c r="AD16" s="1156"/>
      <c r="AE16" s="1156"/>
      <c r="AF16" s="1156"/>
      <c r="AG16" s="1156"/>
      <c r="AH16" s="1156"/>
      <c r="AI16" s="1156"/>
      <c r="AJ16" s="1156"/>
      <c r="AK16" s="1156"/>
      <c r="AL16" s="1156"/>
      <c r="AM16" s="1156"/>
      <c r="AN16" s="1156"/>
      <c r="AO16" s="1156"/>
      <c r="AP16" s="1156"/>
      <c r="AQ16" s="1156"/>
      <c r="AR16" s="1156"/>
      <c r="AS16" s="1156"/>
      <c r="AT16" s="1156"/>
      <c r="AU16" s="1156"/>
      <c r="AV16" s="1156"/>
      <c r="AW16" s="1156"/>
      <c r="AX16" s="1156"/>
      <c r="AY16" s="1156"/>
      <c r="AZ16" s="1156"/>
      <c r="BA16" s="1156"/>
      <c r="BB16" s="1156"/>
      <c r="BC16" s="1156"/>
      <c r="BD16" s="1156"/>
      <c r="BE16" s="1156"/>
      <c r="BF16" s="1156"/>
      <c r="BG16" s="1156"/>
      <c r="BH16" s="1156"/>
      <c r="BI16" s="1156"/>
      <c r="BJ16" s="1156"/>
      <c r="BK16" s="1156"/>
      <c r="BL16" s="1156"/>
      <c r="BM16" s="1156"/>
      <c r="BN16" s="1156"/>
      <c r="BO16" s="1156"/>
      <c r="BP16" s="1156"/>
      <c r="BQ16" s="1156"/>
      <c r="BR16" s="1156"/>
      <c r="BS16" s="1156"/>
      <c r="BT16" s="1156"/>
    </row>
    <row r="17" spans="1:16135" s="1157" customFormat="1" ht="15.75" customHeight="1" x14ac:dyDescent="0.2">
      <c r="A17" s="1158"/>
      <c r="B17" s="1159"/>
      <c r="C17" s="1160"/>
      <c r="D17" s="1160"/>
      <c r="E17" s="1161"/>
      <c r="F17" s="1162"/>
      <c r="G17" s="1163"/>
      <c r="H17" s="1156"/>
      <c r="I17" s="1156"/>
      <c r="J17" s="1156"/>
      <c r="K17" s="1156"/>
      <c r="L17" s="1156"/>
      <c r="M17" s="1156"/>
      <c r="N17" s="1156"/>
      <c r="O17" s="1156"/>
      <c r="P17" s="1156"/>
      <c r="Q17" s="1156"/>
      <c r="R17" s="1156"/>
      <c r="S17" s="1156"/>
      <c r="T17" s="1156"/>
      <c r="U17" s="1156"/>
      <c r="V17" s="1156"/>
      <c r="W17" s="1156"/>
      <c r="X17" s="1156"/>
      <c r="Y17" s="1156"/>
      <c r="Z17" s="1156"/>
      <c r="AA17" s="1156"/>
      <c r="AB17" s="1156"/>
      <c r="AC17" s="1156"/>
      <c r="AD17" s="1156"/>
      <c r="AE17" s="1156"/>
      <c r="AF17" s="1156"/>
      <c r="AG17" s="1156"/>
      <c r="AH17" s="1156"/>
      <c r="AI17" s="1156"/>
      <c r="AJ17" s="1156"/>
      <c r="AK17" s="1156"/>
      <c r="AL17" s="1156"/>
      <c r="AM17" s="1156"/>
      <c r="AN17" s="1156"/>
      <c r="AO17" s="1156"/>
      <c r="AP17" s="1156"/>
      <c r="AQ17" s="1156"/>
      <c r="AR17" s="1156"/>
      <c r="AS17" s="1156"/>
      <c r="AT17" s="1156"/>
      <c r="AU17" s="1156"/>
      <c r="AV17" s="1156"/>
      <c r="AW17" s="1156"/>
      <c r="AX17" s="1156"/>
      <c r="AY17" s="1156"/>
      <c r="AZ17" s="1156"/>
      <c r="BA17" s="1156"/>
      <c r="BB17" s="1156"/>
      <c r="BC17" s="1156"/>
      <c r="BD17" s="1156"/>
      <c r="BE17" s="1156"/>
      <c r="BF17" s="1156"/>
      <c r="BG17" s="1156"/>
      <c r="BH17" s="1156"/>
      <c r="BI17" s="1156"/>
      <c r="BJ17" s="1156"/>
      <c r="BK17" s="1156"/>
      <c r="BL17" s="1156"/>
      <c r="BM17" s="1156"/>
      <c r="BN17" s="1156"/>
      <c r="BO17" s="1156"/>
      <c r="BP17" s="1156"/>
      <c r="BQ17" s="1156"/>
      <c r="BR17" s="1156"/>
      <c r="BS17" s="1156"/>
      <c r="BT17" s="1156"/>
    </row>
    <row r="18" spans="1:16135" s="1170" customFormat="1" ht="24" customHeight="1" x14ac:dyDescent="0.2">
      <c r="A18" s="1164"/>
      <c r="B18" s="1165" t="s">
        <v>1139</v>
      </c>
      <c r="C18" s="1166"/>
      <c r="D18" s="1167"/>
      <c r="E18" s="1168"/>
      <c r="F18" s="1168">
        <f>SUM(F12,)</f>
        <v>30000000</v>
      </c>
      <c r="G18" s="1168">
        <f>SUM(G13,)</f>
        <v>35000000</v>
      </c>
      <c r="H18" s="1169"/>
      <c r="I18" s="1169"/>
      <c r="J18" s="1169"/>
      <c r="K18" s="1169"/>
      <c r="L18" s="1169"/>
      <c r="M18" s="1169"/>
      <c r="N18" s="1169"/>
      <c r="O18" s="1169"/>
      <c r="P18" s="1169"/>
      <c r="Q18" s="1169"/>
      <c r="R18" s="1169"/>
      <c r="S18" s="1169"/>
      <c r="T18" s="1169"/>
      <c r="U18" s="1169"/>
      <c r="V18" s="1169"/>
      <c r="W18" s="1169"/>
      <c r="X18" s="1169"/>
      <c r="Y18" s="1169"/>
      <c r="Z18" s="1169"/>
      <c r="AA18" s="1169"/>
      <c r="AB18" s="1169"/>
      <c r="AC18" s="1169"/>
      <c r="AD18" s="1169"/>
      <c r="AE18" s="1169"/>
      <c r="AF18" s="1169"/>
      <c r="AG18" s="1169"/>
      <c r="AH18" s="1169"/>
      <c r="AI18" s="1169"/>
      <c r="AJ18" s="1169"/>
      <c r="AK18" s="1169"/>
      <c r="AL18" s="1169"/>
      <c r="AM18" s="1169"/>
      <c r="AN18" s="1169"/>
      <c r="AO18" s="1169"/>
      <c r="AP18" s="1169"/>
      <c r="AQ18" s="1169"/>
      <c r="AR18" s="1169"/>
      <c r="AS18" s="1169"/>
      <c r="AT18" s="1169"/>
      <c r="AU18" s="1169"/>
      <c r="AV18" s="1169"/>
      <c r="AW18" s="1169"/>
      <c r="AX18" s="1169"/>
      <c r="AY18" s="1169"/>
      <c r="AZ18" s="1169"/>
      <c r="BA18" s="1169"/>
      <c r="BB18" s="1169"/>
      <c r="BC18" s="1169"/>
      <c r="BD18" s="1169"/>
      <c r="BE18" s="1169"/>
      <c r="BF18" s="1169"/>
      <c r="BG18" s="1169"/>
      <c r="BH18" s="1169"/>
      <c r="BI18" s="1169"/>
      <c r="BJ18" s="1169"/>
      <c r="BK18" s="1169"/>
      <c r="BL18" s="1169"/>
      <c r="BM18" s="1169"/>
      <c r="BN18" s="1169"/>
      <c r="BO18" s="1169"/>
      <c r="BP18" s="1169"/>
      <c r="BQ18" s="1169"/>
      <c r="BR18" s="1169"/>
      <c r="BS18" s="1169"/>
      <c r="BT18" s="1169"/>
    </row>
    <row r="19" spans="1:16135" s="1045" customFormat="1" x14ac:dyDescent="0.25">
      <c r="A19" s="1050"/>
      <c r="B19" s="1050"/>
      <c r="C19" s="1050"/>
      <c r="D19" s="1050"/>
      <c r="E19" s="1050"/>
      <c r="I19" s="1171"/>
      <c r="BY19" s="1050"/>
      <c r="BZ19" s="1050"/>
      <c r="CA19" s="1050"/>
      <c r="CB19" s="1050"/>
      <c r="CC19" s="1050"/>
      <c r="CD19" s="1050"/>
      <c r="CE19" s="1050"/>
      <c r="CF19" s="1050"/>
      <c r="CG19" s="1050"/>
      <c r="CH19" s="1050"/>
      <c r="CI19" s="1050"/>
      <c r="CJ19" s="1050"/>
      <c r="CK19" s="1050"/>
      <c r="CL19" s="1050"/>
      <c r="CM19" s="1050"/>
      <c r="CN19" s="1050"/>
      <c r="CO19" s="1050"/>
      <c r="CP19" s="1050"/>
      <c r="CQ19" s="1050"/>
      <c r="CR19" s="1050"/>
      <c r="CS19" s="1050"/>
      <c r="CT19" s="1050"/>
      <c r="CU19" s="1050"/>
      <c r="CV19" s="1050"/>
      <c r="CW19" s="1050"/>
      <c r="CX19" s="1050"/>
      <c r="CY19" s="1050"/>
      <c r="CZ19" s="1050"/>
      <c r="DA19" s="1050"/>
      <c r="DB19" s="1050"/>
      <c r="DC19" s="1050"/>
      <c r="DD19" s="1050"/>
      <c r="DE19" s="1050"/>
      <c r="DF19" s="1050"/>
      <c r="DG19" s="1050"/>
      <c r="DH19" s="1050"/>
      <c r="DI19" s="1050"/>
      <c r="DJ19" s="1050"/>
      <c r="DK19" s="1050"/>
      <c r="DL19" s="1050"/>
      <c r="DM19" s="1050"/>
      <c r="DN19" s="1050"/>
      <c r="DO19" s="1050"/>
      <c r="DP19" s="1050"/>
      <c r="DQ19" s="1050"/>
      <c r="DR19" s="1050"/>
      <c r="DS19" s="1050"/>
      <c r="DT19" s="1050"/>
      <c r="DU19" s="1050"/>
      <c r="DV19" s="1050"/>
      <c r="DW19" s="1050"/>
      <c r="DX19" s="1050"/>
      <c r="DY19" s="1050"/>
      <c r="DZ19" s="1050"/>
      <c r="EA19" s="1050"/>
      <c r="EB19" s="1050"/>
      <c r="EC19" s="1050"/>
      <c r="ED19" s="1050"/>
      <c r="EE19" s="1050"/>
      <c r="EF19" s="1050"/>
      <c r="EG19" s="1050"/>
      <c r="EH19" s="1050"/>
      <c r="EI19" s="1050"/>
      <c r="EJ19" s="1050"/>
      <c r="EK19" s="1050"/>
      <c r="EL19" s="1050"/>
      <c r="EM19" s="1050"/>
      <c r="EN19" s="1050"/>
      <c r="EO19" s="1050"/>
      <c r="EP19" s="1050"/>
      <c r="EQ19" s="1050"/>
      <c r="ER19" s="1050"/>
      <c r="ES19" s="1050"/>
      <c r="ET19" s="1050"/>
      <c r="EU19" s="1050"/>
      <c r="EV19" s="1050"/>
      <c r="EW19" s="1050"/>
      <c r="EX19" s="1050"/>
      <c r="EY19" s="1050"/>
      <c r="EZ19" s="1050"/>
      <c r="FA19" s="1050"/>
      <c r="FB19" s="1050"/>
      <c r="FC19" s="1050"/>
      <c r="FD19" s="1050"/>
      <c r="FE19" s="1050"/>
      <c r="FF19" s="1050"/>
      <c r="FG19" s="1050"/>
      <c r="FH19" s="1050"/>
      <c r="FI19" s="1050"/>
      <c r="FJ19" s="1050"/>
      <c r="FK19" s="1050"/>
      <c r="FL19" s="1050"/>
      <c r="FM19" s="1050"/>
      <c r="FN19" s="1050"/>
      <c r="FO19" s="1050"/>
      <c r="FP19" s="1050"/>
      <c r="FQ19" s="1050"/>
      <c r="FR19" s="1050"/>
      <c r="FS19" s="1050"/>
      <c r="FT19" s="1050"/>
      <c r="FU19" s="1050"/>
      <c r="FV19" s="1050"/>
      <c r="FW19" s="1050"/>
      <c r="FX19" s="1050"/>
      <c r="FY19" s="1050"/>
      <c r="FZ19" s="1050"/>
      <c r="GA19" s="1050"/>
      <c r="GB19" s="1050"/>
      <c r="GC19" s="1050"/>
      <c r="GD19" s="1050"/>
      <c r="GE19" s="1050"/>
      <c r="GF19" s="1050"/>
      <c r="GG19" s="1050"/>
      <c r="GH19" s="1050"/>
      <c r="GI19" s="1050"/>
      <c r="GJ19" s="1050"/>
      <c r="GK19" s="1050"/>
      <c r="GL19" s="1050"/>
      <c r="GM19" s="1050"/>
      <c r="GN19" s="1050"/>
      <c r="GO19" s="1050"/>
      <c r="GP19" s="1050"/>
      <c r="GQ19" s="1050"/>
      <c r="GR19" s="1050"/>
      <c r="GS19" s="1050"/>
      <c r="GT19" s="1050"/>
      <c r="GU19" s="1050"/>
      <c r="GV19" s="1050"/>
      <c r="GW19" s="1050"/>
      <c r="GX19" s="1050"/>
      <c r="GY19" s="1050"/>
      <c r="GZ19" s="1050"/>
      <c r="HA19" s="1050"/>
      <c r="HB19" s="1050"/>
      <c r="HC19" s="1050"/>
      <c r="HD19" s="1050"/>
      <c r="HE19" s="1050"/>
      <c r="HF19" s="1050"/>
      <c r="HG19" s="1050"/>
      <c r="HH19" s="1050"/>
      <c r="HI19" s="1050"/>
      <c r="HJ19" s="1050"/>
      <c r="HK19" s="1050"/>
      <c r="HL19" s="1050"/>
      <c r="HM19" s="1050"/>
      <c r="HN19" s="1050"/>
      <c r="HO19" s="1050"/>
      <c r="HP19" s="1050"/>
      <c r="HQ19" s="1050"/>
      <c r="HR19" s="1050"/>
      <c r="HS19" s="1050"/>
      <c r="HT19" s="1050"/>
      <c r="HU19" s="1050"/>
      <c r="HV19" s="1050"/>
      <c r="HW19" s="1050"/>
      <c r="HX19" s="1050"/>
      <c r="HY19" s="1050"/>
      <c r="HZ19" s="1050"/>
      <c r="IA19" s="1050"/>
      <c r="IB19" s="1050"/>
      <c r="IC19" s="1050"/>
      <c r="ID19" s="1050"/>
      <c r="IE19" s="1050"/>
      <c r="IF19" s="1050"/>
      <c r="IG19" s="1050"/>
      <c r="IH19" s="1050"/>
      <c r="II19" s="1050"/>
      <c r="IJ19" s="1050"/>
      <c r="IK19" s="1050"/>
      <c r="IL19" s="1050"/>
      <c r="IM19" s="1050"/>
      <c r="IN19" s="1050"/>
      <c r="IO19" s="1050"/>
      <c r="IP19" s="1050"/>
      <c r="IQ19" s="1050"/>
      <c r="IR19" s="1050"/>
      <c r="IS19" s="1050"/>
      <c r="IT19" s="1050"/>
      <c r="IU19" s="1050"/>
      <c r="IV19" s="1050"/>
      <c r="IW19" s="1050"/>
      <c r="IX19" s="1050"/>
      <c r="IY19" s="1050"/>
      <c r="IZ19" s="1050"/>
      <c r="JA19" s="1050"/>
      <c r="JB19" s="1050"/>
      <c r="JC19" s="1050"/>
      <c r="JD19" s="1050"/>
      <c r="JE19" s="1050"/>
      <c r="JF19" s="1050"/>
      <c r="JG19" s="1050"/>
      <c r="JH19" s="1050"/>
      <c r="JI19" s="1050"/>
      <c r="JJ19" s="1050"/>
      <c r="JK19" s="1050"/>
      <c r="JL19" s="1050"/>
      <c r="JM19" s="1050"/>
      <c r="JN19" s="1050"/>
      <c r="JO19" s="1050"/>
      <c r="JP19" s="1050"/>
      <c r="JQ19" s="1050"/>
      <c r="JR19" s="1050"/>
      <c r="JS19" s="1050"/>
      <c r="JT19" s="1050"/>
      <c r="JU19" s="1050"/>
      <c r="JV19" s="1050"/>
      <c r="JW19" s="1050"/>
      <c r="JX19" s="1050"/>
      <c r="JY19" s="1050"/>
      <c r="JZ19" s="1050"/>
      <c r="KA19" s="1050"/>
      <c r="KB19" s="1050"/>
      <c r="KC19" s="1050"/>
      <c r="KD19" s="1050"/>
      <c r="KE19" s="1050"/>
      <c r="KF19" s="1050"/>
      <c r="KG19" s="1050"/>
      <c r="KH19" s="1050"/>
      <c r="KI19" s="1050"/>
      <c r="KJ19" s="1050"/>
      <c r="KK19" s="1050"/>
      <c r="KL19" s="1050"/>
      <c r="KM19" s="1050"/>
      <c r="KN19" s="1050"/>
      <c r="KO19" s="1050"/>
      <c r="KP19" s="1050"/>
      <c r="KQ19" s="1050"/>
      <c r="KR19" s="1050"/>
      <c r="KS19" s="1050"/>
      <c r="KT19" s="1050"/>
      <c r="KU19" s="1050"/>
      <c r="KV19" s="1050"/>
      <c r="KW19" s="1050"/>
      <c r="KX19" s="1050"/>
      <c r="KY19" s="1050"/>
      <c r="KZ19" s="1050"/>
      <c r="LA19" s="1050"/>
      <c r="LB19" s="1050"/>
      <c r="LC19" s="1050"/>
      <c r="LD19" s="1050"/>
      <c r="LE19" s="1050"/>
      <c r="LF19" s="1050"/>
      <c r="LG19" s="1050"/>
      <c r="LH19" s="1050"/>
      <c r="LI19" s="1050"/>
      <c r="LJ19" s="1050"/>
      <c r="LK19" s="1050"/>
      <c r="LL19" s="1050"/>
      <c r="LM19" s="1050"/>
      <c r="LN19" s="1050"/>
      <c r="LO19" s="1050"/>
      <c r="LP19" s="1050"/>
      <c r="LQ19" s="1050"/>
      <c r="LR19" s="1050"/>
      <c r="LS19" s="1050"/>
      <c r="LT19" s="1050"/>
      <c r="LU19" s="1050"/>
      <c r="LV19" s="1050"/>
      <c r="LW19" s="1050"/>
      <c r="LX19" s="1050"/>
      <c r="LY19" s="1050"/>
      <c r="LZ19" s="1050"/>
      <c r="MA19" s="1050"/>
      <c r="MB19" s="1050"/>
      <c r="MC19" s="1050"/>
      <c r="MD19" s="1050"/>
      <c r="ME19" s="1050"/>
      <c r="MF19" s="1050"/>
      <c r="MG19" s="1050"/>
      <c r="MH19" s="1050"/>
      <c r="MI19" s="1050"/>
      <c r="MJ19" s="1050"/>
      <c r="MK19" s="1050"/>
      <c r="ML19" s="1050"/>
      <c r="MM19" s="1050"/>
      <c r="MN19" s="1050"/>
      <c r="MO19" s="1050"/>
      <c r="MP19" s="1050"/>
      <c r="MQ19" s="1050"/>
      <c r="MR19" s="1050"/>
      <c r="MS19" s="1050"/>
      <c r="MT19" s="1050"/>
      <c r="MU19" s="1050"/>
      <c r="MV19" s="1050"/>
      <c r="MW19" s="1050"/>
      <c r="MX19" s="1050"/>
      <c r="MY19" s="1050"/>
      <c r="MZ19" s="1050"/>
      <c r="NA19" s="1050"/>
      <c r="NB19" s="1050"/>
      <c r="NC19" s="1050"/>
      <c r="ND19" s="1050"/>
      <c r="NE19" s="1050"/>
      <c r="NF19" s="1050"/>
      <c r="NG19" s="1050"/>
      <c r="NH19" s="1050"/>
      <c r="NI19" s="1050"/>
      <c r="NJ19" s="1050"/>
      <c r="NK19" s="1050"/>
      <c r="NL19" s="1050"/>
      <c r="NM19" s="1050"/>
      <c r="NN19" s="1050"/>
      <c r="NO19" s="1050"/>
      <c r="NP19" s="1050"/>
      <c r="NQ19" s="1050"/>
      <c r="NR19" s="1050"/>
      <c r="NS19" s="1050"/>
      <c r="NT19" s="1050"/>
      <c r="NU19" s="1050"/>
      <c r="NV19" s="1050"/>
      <c r="NW19" s="1050"/>
      <c r="NX19" s="1050"/>
      <c r="NY19" s="1050"/>
      <c r="NZ19" s="1050"/>
      <c r="OA19" s="1050"/>
      <c r="OB19" s="1050"/>
      <c r="OC19" s="1050"/>
      <c r="OD19" s="1050"/>
      <c r="OE19" s="1050"/>
      <c r="OF19" s="1050"/>
      <c r="OG19" s="1050"/>
      <c r="OH19" s="1050"/>
      <c r="OI19" s="1050"/>
      <c r="OJ19" s="1050"/>
      <c r="OK19" s="1050"/>
      <c r="OL19" s="1050"/>
      <c r="OM19" s="1050"/>
      <c r="ON19" s="1050"/>
      <c r="OO19" s="1050"/>
      <c r="OP19" s="1050"/>
      <c r="OQ19" s="1050"/>
      <c r="OR19" s="1050"/>
      <c r="OS19" s="1050"/>
      <c r="OT19" s="1050"/>
      <c r="OU19" s="1050"/>
      <c r="OV19" s="1050"/>
      <c r="OW19" s="1050"/>
      <c r="OX19" s="1050"/>
      <c r="OY19" s="1050"/>
      <c r="OZ19" s="1050"/>
      <c r="PA19" s="1050"/>
      <c r="PB19" s="1050"/>
      <c r="PC19" s="1050"/>
      <c r="PD19" s="1050"/>
      <c r="PE19" s="1050"/>
      <c r="PF19" s="1050"/>
      <c r="PG19" s="1050"/>
      <c r="PH19" s="1050"/>
      <c r="PI19" s="1050"/>
      <c r="PJ19" s="1050"/>
      <c r="PK19" s="1050"/>
      <c r="PL19" s="1050"/>
      <c r="PM19" s="1050"/>
      <c r="PN19" s="1050"/>
      <c r="PO19" s="1050"/>
      <c r="PP19" s="1050"/>
      <c r="PQ19" s="1050"/>
      <c r="PR19" s="1050"/>
      <c r="PS19" s="1050"/>
      <c r="PT19" s="1050"/>
      <c r="PU19" s="1050"/>
      <c r="PV19" s="1050"/>
      <c r="PW19" s="1050"/>
      <c r="PX19" s="1050"/>
      <c r="PY19" s="1050"/>
      <c r="PZ19" s="1050"/>
      <c r="QA19" s="1050"/>
      <c r="QB19" s="1050"/>
      <c r="QC19" s="1050"/>
      <c r="QD19" s="1050"/>
      <c r="QE19" s="1050"/>
      <c r="QF19" s="1050"/>
      <c r="QG19" s="1050"/>
      <c r="QH19" s="1050"/>
      <c r="QI19" s="1050"/>
      <c r="QJ19" s="1050"/>
      <c r="QK19" s="1050"/>
      <c r="QL19" s="1050"/>
      <c r="QM19" s="1050"/>
      <c r="QN19" s="1050"/>
      <c r="QO19" s="1050"/>
      <c r="QP19" s="1050"/>
      <c r="QQ19" s="1050"/>
      <c r="QR19" s="1050"/>
      <c r="QS19" s="1050"/>
      <c r="QT19" s="1050"/>
      <c r="QU19" s="1050"/>
      <c r="QV19" s="1050"/>
      <c r="QW19" s="1050"/>
      <c r="QX19" s="1050"/>
      <c r="QY19" s="1050"/>
      <c r="QZ19" s="1050"/>
      <c r="RA19" s="1050"/>
      <c r="RB19" s="1050"/>
      <c r="RC19" s="1050"/>
      <c r="RD19" s="1050"/>
      <c r="RE19" s="1050"/>
      <c r="RF19" s="1050"/>
      <c r="RG19" s="1050"/>
      <c r="RH19" s="1050"/>
      <c r="RI19" s="1050"/>
      <c r="RJ19" s="1050"/>
      <c r="RK19" s="1050"/>
      <c r="RL19" s="1050"/>
      <c r="RM19" s="1050"/>
      <c r="RN19" s="1050"/>
      <c r="RO19" s="1050"/>
      <c r="RP19" s="1050"/>
      <c r="RQ19" s="1050"/>
      <c r="RR19" s="1050"/>
      <c r="RS19" s="1050"/>
      <c r="RT19" s="1050"/>
      <c r="RU19" s="1050"/>
      <c r="RV19" s="1050"/>
      <c r="RW19" s="1050"/>
      <c r="RX19" s="1050"/>
      <c r="RY19" s="1050"/>
      <c r="RZ19" s="1050"/>
      <c r="SA19" s="1050"/>
      <c r="SB19" s="1050"/>
      <c r="SC19" s="1050"/>
      <c r="SD19" s="1050"/>
      <c r="SE19" s="1050"/>
      <c r="SF19" s="1050"/>
      <c r="SG19" s="1050"/>
      <c r="SH19" s="1050"/>
      <c r="SI19" s="1050"/>
      <c r="SJ19" s="1050"/>
      <c r="SK19" s="1050"/>
      <c r="SL19" s="1050"/>
      <c r="SM19" s="1050"/>
      <c r="SN19" s="1050"/>
      <c r="SO19" s="1050"/>
      <c r="SP19" s="1050"/>
      <c r="SQ19" s="1050"/>
      <c r="SR19" s="1050"/>
      <c r="SS19" s="1050"/>
      <c r="ST19" s="1050"/>
      <c r="SU19" s="1050"/>
      <c r="SV19" s="1050"/>
      <c r="SW19" s="1050"/>
      <c r="SX19" s="1050"/>
      <c r="SY19" s="1050"/>
      <c r="SZ19" s="1050"/>
      <c r="TA19" s="1050"/>
      <c r="TB19" s="1050"/>
      <c r="TC19" s="1050"/>
      <c r="TD19" s="1050"/>
      <c r="TE19" s="1050"/>
      <c r="TF19" s="1050"/>
      <c r="TG19" s="1050"/>
      <c r="TH19" s="1050"/>
      <c r="TI19" s="1050"/>
      <c r="TJ19" s="1050"/>
      <c r="TK19" s="1050"/>
      <c r="TL19" s="1050"/>
      <c r="TM19" s="1050"/>
      <c r="TN19" s="1050"/>
      <c r="TO19" s="1050"/>
      <c r="TP19" s="1050"/>
      <c r="TQ19" s="1050"/>
      <c r="TR19" s="1050"/>
      <c r="TS19" s="1050"/>
      <c r="TT19" s="1050"/>
      <c r="TU19" s="1050"/>
      <c r="TV19" s="1050"/>
      <c r="TW19" s="1050"/>
      <c r="TX19" s="1050"/>
      <c r="TY19" s="1050"/>
      <c r="TZ19" s="1050"/>
      <c r="UA19" s="1050"/>
      <c r="UB19" s="1050"/>
      <c r="UC19" s="1050"/>
      <c r="UD19" s="1050"/>
      <c r="UE19" s="1050"/>
      <c r="UF19" s="1050"/>
      <c r="UG19" s="1050"/>
      <c r="UH19" s="1050"/>
      <c r="UI19" s="1050"/>
      <c r="UJ19" s="1050"/>
      <c r="UK19" s="1050"/>
      <c r="UL19" s="1050"/>
      <c r="UM19" s="1050"/>
      <c r="UN19" s="1050"/>
      <c r="UO19" s="1050"/>
      <c r="UP19" s="1050"/>
      <c r="UQ19" s="1050"/>
      <c r="UR19" s="1050"/>
      <c r="US19" s="1050"/>
      <c r="UT19" s="1050"/>
      <c r="UU19" s="1050"/>
      <c r="UV19" s="1050"/>
      <c r="UW19" s="1050"/>
      <c r="UX19" s="1050"/>
      <c r="UY19" s="1050"/>
      <c r="UZ19" s="1050"/>
      <c r="VA19" s="1050"/>
      <c r="VB19" s="1050"/>
      <c r="VC19" s="1050"/>
      <c r="VD19" s="1050"/>
      <c r="VE19" s="1050"/>
      <c r="VF19" s="1050"/>
      <c r="VG19" s="1050"/>
      <c r="VH19" s="1050"/>
      <c r="VI19" s="1050"/>
      <c r="VJ19" s="1050"/>
      <c r="VK19" s="1050"/>
      <c r="VL19" s="1050"/>
      <c r="VM19" s="1050"/>
      <c r="VN19" s="1050"/>
      <c r="VO19" s="1050"/>
      <c r="VP19" s="1050"/>
      <c r="VQ19" s="1050"/>
      <c r="VR19" s="1050"/>
      <c r="VS19" s="1050"/>
      <c r="VT19" s="1050"/>
      <c r="VU19" s="1050"/>
      <c r="VV19" s="1050"/>
      <c r="VW19" s="1050"/>
      <c r="VX19" s="1050"/>
      <c r="VY19" s="1050"/>
      <c r="VZ19" s="1050"/>
      <c r="WA19" s="1050"/>
      <c r="WB19" s="1050"/>
      <c r="WC19" s="1050"/>
      <c r="WD19" s="1050"/>
      <c r="WE19" s="1050"/>
      <c r="WF19" s="1050"/>
      <c r="WG19" s="1050"/>
      <c r="WH19" s="1050"/>
      <c r="WI19" s="1050"/>
      <c r="WJ19" s="1050"/>
      <c r="WK19" s="1050"/>
      <c r="WL19" s="1050"/>
      <c r="WM19" s="1050"/>
      <c r="WN19" s="1050"/>
      <c r="WO19" s="1050"/>
      <c r="WP19" s="1050"/>
      <c r="WQ19" s="1050"/>
      <c r="WR19" s="1050"/>
      <c r="WS19" s="1050"/>
      <c r="WT19" s="1050"/>
      <c r="WU19" s="1050"/>
      <c r="WV19" s="1050"/>
      <c r="WW19" s="1050"/>
      <c r="WX19" s="1050"/>
      <c r="WY19" s="1050"/>
      <c r="WZ19" s="1050"/>
      <c r="XA19" s="1050"/>
      <c r="XB19" s="1050"/>
      <c r="XC19" s="1050"/>
      <c r="XD19" s="1050"/>
      <c r="XE19" s="1050"/>
      <c r="XF19" s="1050"/>
      <c r="XG19" s="1050"/>
      <c r="XH19" s="1050"/>
      <c r="XI19" s="1050"/>
      <c r="XJ19" s="1050"/>
      <c r="XK19" s="1050"/>
      <c r="XL19" s="1050"/>
      <c r="XM19" s="1050"/>
      <c r="XN19" s="1050"/>
      <c r="XO19" s="1050"/>
      <c r="XP19" s="1050"/>
      <c r="XQ19" s="1050"/>
      <c r="XR19" s="1050"/>
      <c r="XS19" s="1050"/>
      <c r="XT19" s="1050"/>
      <c r="XU19" s="1050"/>
      <c r="XV19" s="1050"/>
      <c r="XW19" s="1050"/>
      <c r="XX19" s="1050"/>
      <c r="XY19" s="1050"/>
      <c r="XZ19" s="1050"/>
      <c r="YA19" s="1050"/>
      <c r="YB19" s="1050"/>
      <c r="YC19" s="1050"/>
      <c r="YD19" s="1050"/>
      <c r="YE19" s="1050"/>
      <c r="YF19" s="1050"/>
      <c r="YG19" s="1050"/>
      <c r="YH19" s="1050"/>
      <c r="YI19" s="1050"/>
      <c r="YJ19" s="1050"/>
      <c r="YK19" s="1050"/>
      <c r="YL19" s="1050"/>
      <c r="YM19" s="1050"/>
      <c r="YN19" s="1050"/>
      <c r="YO19" s="1050"/>
      <c r="YP19" s="1050"/>
      <c r="YQ19" s="1050"/>
      <c r="YR19" s="1050"/>
      <c r="YS19" s="1050"/>
      <c r="YT19" s="1050"/>
      <c r="YU19" s="1050"/>
      <c r="YV19" s="1050"/>
      <c r="YW19" s="1050"/>
      <c r="YX19" s="1050"/>
      <c r="YY19" s="1050"/>
      <c r="YZ19" s="1050"/>
      <c r="ZA19" s="1050"/>
      <c r="ZB19" s="1050"/>
      <c r="ZC19" s="1050"/>
      <c r="ZD19" s="1050"/>
      <c r="ZE19" s="1050"/>
      <c r="ZF19" s="1050"/>
      <c r="ZG19" s="1050"/>
      <c r="ZH19" s="1050"/>
      <c r="ZI19" s="1050"/>
      <c r="ZJ19" s="1050"/>
      <c r="ZK19" s="1050"/>
      <c r="ZL19" s="1050"/>
      <c r="ZM19" s="1050"/>
      <c r="ZN19" s="1050"/>
      <c r="ZO19" s="1050"/>
      <c r="ZP19" s="1050"/>
      <c r="ZQ19" s="1050"/>
      <c r="ZR19" s="1050"/>
      <c r="ZS19" s="1050"/>
      <c r="ZT19" s="1050"/>
      <c r="ZU19" s="1050"/>
      <c r="ZV19" s="1050"/>
      <c r="ZW19" s="1050"/>
      <c r="ZX19" s="1050"/>
      <c r="ZY19" s="1050"/>
      <c r="ZZ19" s="1050"/>
      <c r="AAA19" s="1050"/>
      <c r="AAB19" s="1050"/>
      <c r="AAC19" s="1050"/>
      <c r="AAD19" s="1050"/>
      <c r="AAE19" s="1050"/>
      <c r="AAF19" s="1050"/>
      <c r="AAG19" s="1050"/>
      <c r="AAH19" s="1050"/>
      <c r="AAI19" s="1050"/>
      <c r="AAJ19" s="1050"/>
      <c r="AAK19" s="1050"/>
      <c r="AAL19" s="1050"/>
      <c r="AAM19" s="1050"/>
      <c r="AAN19" s="1050"/>
      <c r="AAO19" s="1050"/>
      <c r="AAP19" s="1050"/>
      <c r="AAQ19" s="1050"/>
      <c r="AAR19" s="1050"/>
      <c r="AAS19" s="1050"/>
      <c r="AAT19" s="1050"/>
      <c r="AAU19" s="1050"/>
      <c r="AAV19" s="1050"/>
      <c r="AAW19" s="1050"/>
      <c r="AAX19" s="1050"/>
      <c r="AAY19" s="1050"/>
      <c r="AAZ19" s="1050"/>
      <c r="ABA19" s="1050"/>
      <c r="ABB19" s="1050"/>
      <c r="ABC19" s="1050"/>
      <c r="ABD19" s="1050"/>
      <c r="ABE19" s="1050"/>
      <c r="ABF19" s="1050"/>
      <c r="ABG19" s="1050"/>
      <c r="ABH19" s="1050"/>
      <c r="ABI19" s="1050"/>
      <c r="ABJ19" s="1050"/>
      <c r="ABK19" s="1050"/>
      <c r="ABL19" s="1050"/>
      <c r="ABM19" s="1050"/>
      <c r="ABN19" s="1050"/>
      <c r="ABO19" s="1050"/>
      <c r="ABP19" s="1050"/>
      <c r="ABQ19" s="1050"/>
      <c r="ABR19" s="1050"/>
      <c r="ABS19" s="1050"/>
      <c r="ABT19" s="1050"/>
      <c r="ABU19" s="1050"/>
      <c r="ABV19" s="1050"/>
      <c r="ABW19" s="1050"/>
      <c r="ABX19" s="1050"/>
      <c r="ABY19" s="1050"/>
      <c r="ABZ19" s="1050"/>
      <c r="ACA19" s="1050"/>
      <c r="ACB19" s="1050"/>
      <c r="ACC19" s="1050"/>
      <c r="ACD19" s="1050"/>
      <c r="ACE19" s="1050"/>
      <c r="ACF19" s="1050"/>
      <c r="ACG19" s="1050"/>
      <c r="ACH19" s="1050"/>
      <c r="ACI19" s="1050"/>
      <c r="ACJ19" s="1050"/>
      <c r="ACK19" s="1050"/>
      <c r="ACL19" s="1050"/>
      <c r="ACM19" s="1050"/>
      <c r="ACN19" s="1050"/>
      <c r="ACO19" s="1050"/>
      <c r="ACP19" s="1050"/>
      <c r="ACQ19" s="1050"/>
      <c r="ACR19" s="1050"/>
      <c r="ACS19" s="1050"/>
      <c r="ACT19" s="1050"/>
      <c r="ACU19" s="1050"/>
      <c r="ACV19" s="1050"/>
      <c r="ACW19" s="1050"/>
      <c r="ACX19" s="1050"/>
      <c r="ACY19" s="1050"/>
      <c r="ACZ19" s="1050"/>
      <c r="ADA19" s="1050"/>
      <c r="ADB19" s="1050"/>
      <c r="ADC19" s="1050"/>
      <c r="ADD19" s="1050"/>
      <c r="ADE19" s="1050"/>
      <c r="ADF19" s="1050"/>
      <c r="ADG19" s="1050"/>
      <c r="ADH19" s="1050"/>
      <c r="ADI19" s="1050"/>
      <c r="ADJ19" s="1050"/>
      <c r="ADK19" s="1050"/>
      <c r="ADL19" s="1050"/>
      <c r="ADM19" s="1050"/>
      <c r="ADN19" s="1050"/>
      <c r="ADO19" s="1050"/>
      <c r="ADP19" s="1050"/>
      <c r="ADQ19" s="1050"/>
      <c r="ADR19" s="1050"/>
      <c r="ADS19" s="1050"/>
      <c r="ADT19" s="1050"/>
      <c r="ADU19" s="1050"/>
      <c r="ADV19" s="1050"/>
      <c r="ADW19" s="1050"/>
      <c r="ADX19" s="1050"/>
      <c r="ADY19" s="1050"/>
      <c r="ADZ19" s="1050"/>
      <c r="AEA19" s="1050"/>
      <c r="AEB19" s="1050"/>
      <c r="AEC19" s="1050"/>
      <c r="AED19" s="1050"/>
      <c r="AEE19" s="1050"/>
      <c r="AEF19" s="1050"/>
      <c r="AEG19" s="1050"/>
      <c r="AEH19" s="1050"/>
      <c r="AEI19" s="1050"/>
      <c r="AEJ19" s="1050"/>
      <c r="AEK19" s="1050"/>
      <c r="AEL19" s="1050"/>
      <c r="AEM19" s="1050"/>
      <c r="AEN19" s="1050"/>
      <c r="AEO19" s="1050"/>
      <c r="AEP19" s="1050"/>
      <c r="AEQ19" s="1050"/>
      <c r="AER19" s="1050"/>
      <c r="AES19" s="1050"/>
      <c r="AET19" s="1050"/>
      <c r="AEU19" s="1050"/>
      <c r="AEV19" s="1050"/>
      <c r="AEW19" s="1050"/>
      <c r="AEX19" s="1050"/>
      <c r="AEY19" s="1050"/>
      <c r="AEZ19" s="1050"/>
      <c r="AFA19" s="1050"/>
      <c r="AFB19" s="1050"/>
      <c r="AFC19" s="1050"/>
      <c r="AFD19" s="1050"/>
      <c r="AFE19" s="1050"/>
      <c r="AFF19" s="1050"/>
      <c r="AFG19" s="1050"/>
      <c r="AFH19" s="1050"/>
      <c r="AFI19" s="1050"/>
      <c r="AFJ19" s="1050"/>
      <c r="AFK19" s="1050"/>
      <c r="AFL19" s="1050"/>
      <c r="AFM19" s="1050"/>
      <c r="AFN19" s="1050"/>
      <c r="AFO19" s="1050"/>
      <c r="AFP19" s="1050"/>
      <c r="AFQ19" s="1050"/>
      <c r="AFR19" s="1050"/>
      <c r="AFS19" s="1050"/>
      <c r="AFT19" s="1050"/>
      <c r="AFU19" s="1050"/>
      <c r="AFV19" s="1050"/>
      <c r="AFW19" s="1050"/>
      <c r="AFX19" s="1050"/>
      <c r="AFY19" s="1050"/>
      <c r="AFZ19" s="1050"/>
      <c r="AGA19" s="1050"/>
      <c r="AGB19" s="1050"/>
      <c r="AGC19" s="1050"/>
      <c r="AGD19" s="1050"/>
      <c r="AGE19" s="1050"/>
      <c r="AGF19" s="1050"/>
      <c r="AGG19" s="1050"/>
      <c r="AGH19" s="1050"/>
      <c r="AGI19" s="1050"/>
      <c r="AGJ19" s="1050"/>
      <c r="AGK19" s="1050"/>
      <c r="AGL19" s="1050"/>
      <c r="AGM19" s="1050"/>
      <c r="AGN19" s="1050"/>
      <c r="AGO19" s="1050"/>
      <c r="AGP19" s="1050"/>
      <c r="AGQ19" s="1050"/>
      <c r="AGR19" s="1050"/>
      <c r="AGS19" s="1050"/>
      <c r="AGT19" s="1050"/>
      <c r="AGU19" s="1050"/>
      <c r="AGV19" s="1050"/>
      <c r="AGW19" s="1050"/>
      <c r="AGX19" s="1050"/>
      <c r="AGY19" s="1050"/>
      <c r="AGZ19" s="1050"/>
      <c r="AHA19" s="1050"/>
      <c r="AHB19" s="1050"/>
      <c r="AHC19" s="1050"/>
      <c r="AHD19" s="1050"/>
      <c r="AHE19" s="1050"/>
      <c r="AHF19" s="1050"/>
      <c r="AHG19" s="1050"/>
      <c r="AHH19" s="1050"/>
      <c r="AHI19" s="1050"/>
      <c r="AHJ19" s="1050"/>
      <c r="AHK19" s="1050"/>
      <c r="AHL19" s="1050"/>
      <c r="AHM19" s="1050"/>
      <c r="AHN19" s="1050"/>
      <c r="AHO19" s="1050"/>
      <c r="AHP19" s="1050"/>
      <c r="AHQ19" s="1050"/>
      <c r="AHR19" s="1050"/>
      <c r="AHS19" s="1050"/>
      <c r="AHT19" s="1050"/>
      <c r="AHU19" s="1050"/>
      <c r="AHV19" s="1050"/>
      <c r="AHW19" s="1050"/>
      <c r="AHX19" s="1050"/>
      <c r="AHY19" s="1050"/>
      <c r="AHZ19" s="1050"/>
      <c r="AIA19" s="1050"/>
      <c r="AIB19" s="1050"/>
      <c r="AIC19" s="1050"/>
      <c r="AID19" s="1050"/>
      <c r="AIE19" s="1050"/>
      <c r="AIF19" s="1050"/>
      <c r="AIG19" s="1050"/>
      <c r="AIH19" s="1050"/>
      <c r="AII19" s="1050"/>
      <c r="AIJ19" s="1050"/>
      <c r="AIK19" s="1050"/>
      <c r="AIL19" s="1050"/>
      <c r="AIM19" s="1050"/>
      <c r="AIN19" s="1050"/>
      <c r="AIO19" s="1050"/>
      <c r="AIP19" s="1050"/>
      <c r="AIQ19" s="1050"/>
      <c r="AIR19" s="1050"/>
      <c r="AIS19" s="1050"/>
      <c r="AIT19" s="1050"/>
      <c r="AIU19" s="1050"/>
      <c r="AIV19" s="1050"/>
      <c r="AIW19" s="1050"/>
      <c r="AIX19" s="1050"/>
      <c r="AIY19" s="1050"/>
      <c r="AIZ19" s="1050"/>
      <c r="AJA19" s="1050"/>
      <c r="AJB19" s="1050"/>
      <c r="AJC19" s="1050"/>
      <c r="AJD19" s="1050"/>
      <c r="AJE19" s="1050"/>
      <c r="AJF19" s="1050"/>
      <c r="AJG19" s="1050"/>
      <c r="AJH19" s="1050"/>
      <c r="AJI19" s="1050"/>
      <c r="AJJ19" s="1050"/>
      <c r="AJK19" s="1050"/>
      <c r="AJL19" s="1050"/>
      <c r="AJM19" s="1050"/>
      <c r="AJN19" s="1050"/>
      <c r="AJO19" s="1050"/>
      <c r="AJP19" s="1050"/>
      <c r="AJQ19" s="1050"/>
      <c r="AJR19" s="1050"/>
      <c r="AJS19" s="1050"/>
      <c r="AJT19" s="1050"/>
      <c r="AJU19" s="1050"/>
      <c r="AJV19" s="1050"/>
      <c r="AJW19" s="1050"/>
      <c r="AJX19" s="1050"/>
      <c r="AJY19" s="1050"/>
      <c r="AJZ19" s="1050"/>
      <c r="AKA19" s="1050"/>
      <c r="AKB19" s="1050"/>
      <c r="AKC19" s="1050"/>
      <c r="AKD19" s="1050"/>
      <c r="AKE19" s="1050"/>
      <c r="AKF19" s="1050"/>
      <c r="AKG19" s="1050"/>
      <c r="AKH19" s="1050"/>
      <c r="AKI19" s="1050"/>
      <c r="AKJ19" s="1050"/>
      <c r="AKK19" s="1050"/>
      <c r="AKL19" s="1050"/>
      <c r="AKM19" s="1050"/>
      <c r="AKN19" s="1050"/>
      <c r="AKO19" s="1050"/>
      <c r="AKP19" s="1050"/>
      <c r="AKQ19" s="1050"/>
      <c r="AKR19" s="1050"/>
      <c r="AKS19" s="1050"/>
      <c r="AKT19" s="1050"/>
      <c r="AKU19" s="1050"/>
      <c r="AKV19" s="1050"/>
      <c r="AKW19" s="1050"/>
      <c r="AKX19" s="1050"/>
      <c r="AKY19" s="1050"/>
      <c r="AKZ19" s="1050"/>
      <c r="ALA19" s="1050"/>
      <c r="ALB19" s="1050"/>
      <c r="ALC19" s="1050"/>
      <c r="ALD19" s="1050"/>
      <c r="ALE19" s="1050"/>
      <c r="ALF19" s="1050"/>
      <c r="ALG19" s="1050"/>
      <c r="ALH19" s="1050"/>
      <c r="ALI19" s="1050"/>
      <c r="ALJ19" s="1050"/>
      <c r="ALK19" s="1050"/>
      <c r="ALL19" s="1050"/>
      <c r="ALM19" s="1050"/>
      <c r="ALN19" s="1050"/>
      <c r="ALO19" s="1050"/>
      <c r="ALP19" s="1050"/>
      <c r="ALQ19" s="1050"/>
      <c r="ALR19" s="1050"/>
      <c r="ALS19" s="1050"/>
      <c r="ALT19" s="1050"/>
      <c r="ALU19" s="1050"/>
      <c r="ALV19" s="1050"/>
      <c r="ALW19" s="1050"/>
      <c r="ALX19" s="1050"/>
      <c r="ALY19" s="1050"/>
      <c r="ALZ19" s="1050"/>
      <c r="AMA19" s="1050"/>
      <c r="AMB19" s="1050"/>
      <c r="AMC19" s="1050"/>
      <c r="AMD19" s="1050"/>
      <c r="AME19" s="1050"/>
      <c r="AMF19" s="1050"/>
      <c r="AMG19" s="1050"/>
      <c r="AMH19" s="1050"/>
      <c r="AMI19" s="1050"/>
      <c r="AMJ19" s="1050"/>
      <c r="AMK19" s="1050"/>
      <c r="AML19" s="1050"/>
      <c r="AMM19" s="1050"/>
      <c r="AMN19" s="1050"/>
      <c r="AMO19" s="1050"/>
      <c r="AMP19" s="1050"/>
      <c r="AMQ19" s="1050"/>
      <c r="AMR19" s="1050"/>
      <c r="AMS19" s="1050"/>
      <c r="AMT19" s="1050"/>
      <c r="AMU19" s="1050"/>
      <c r="AMV19" s="1050"/>
      <c r="AMW19" s="1050"/>
      <c r="AMX19" s="1050"/>
      <c r="AMY19" s="1050"/>
      <c r="AMZ19" s="1050"/>
      <c r="ANA19" s="1050"/>
      <c r="ANB19" s="1050"/>
      <c r="ANC19" s="1050"/>
      <c r="AND19" s="1050"/>
      <c r="ANE19" s="1050"/>
      <c r="ANF19" s="1050"/>
      <c r="ANG19" s="1050"/>
      <c r="ANH19" s="1050"/>
      <c r="ANI19" s="1050"/>
      <c r="ANJ19" s="1050"/>
      <c r="ANK19" s="1050"/>
      <c r="ANL19" s="1050"/>
      <c r="ANM19" s="1050"/>
      <c r="ANN19" s="1050"/>
      <c r="ANO19" s="1050"/>
      <c r="ANP19" s="1050"/>
      <c r="ANQ19" s="1050"/>
      <c r="ANR19" s="1050"/>
      <c r="ANS19" s="1050"/>
      <c r="ANT19" s="1050"/>
      <c r="ANU19" s="1050"/>
      <c r="ANV19" s="1050"/>
      <c r="ANW19" s="1050"/>
      <c r="ANX19" s="1050"/>
      <c r="ANY19" s="1050"/>
      <c r="ANZ19" s="1050"/>
      <c r="AOA19" s="1050"/>
      <c r="AOB19" s="1050"/>
      <c r="AOC19" s="1050"/>
      <c r="AOD19" s="1050"/>
      <c r="AOE19" s="1050"/>
      <c r="AOF19" s="1050"/>
      <c r="AOG19" s="1050"/>
      <c r="AOH19" s="1050"/>
      <c r="AOI19" s="1050"/>
      <c r="AOJ19" s="1050"/>
      <c r="AOK19" s="1050"/>
      <c r="AOL19" s="1050"/>
      <c r="AOM19" s="1050"/>
      <c r="AON19" s="1050"/>
      <c r="AOO19" s="1050"/>
      <c r="AOP19" s="1050"/>
      <c r="AOQ19" s="1050"/>
      <c r="AOR19" s="1050"/>
      <c r="AOS19" s="1050"/>
      <c r="AOT19" s="1050"/>
      <c r="AOU19" s="1050"/>
      <c r="AOV19" s="1050"/>
      <c r="AOW19" s="1050"/>
      <c r="AOX19" s="1050"/>
      <c r="AOY19" s="1050"/>
      <c r="AOZ19" s="1050"/>
      <c r="APA19" s="1050"/>
      <c r="APB19" s="1050"/>
      <c r="APC19" s="1050"/>
      <c r="APD19" s="1050"/>
      <c r="APE19" s="1050"/>
      <c r="APF19" s="1050"/>
      <c r="APG19" s="1050"/>
      <c r="APH19" s="1050"/>
      <c r="API19" s="1050"/>
      <c r="APJ19" s="1050"/>
      <c r="APK19" s="1050"/>
      <c r="APL19" s="1050"/>
      <c r="APM19" s="1050"/>
      <c r="APN19" s="1050"/>
      <c r="APO19" s="1050"/>
      <c r="APP19" s="1050"/>
      <c r="APQ19" s="1050"/>
      <c r="APR19" s="1050"/>
      <c r="APS19" s="1050"/>
      <c r="APT19" s="1050"/>
      <c r="APU19" s="1050"/>
      <c r="APV19" s="1050"/>
      <c r="APW19" s="1050"/>
      <c r="APX19" s="1050"/>
      <c r="APY19" s="1050"/>
      <c r="APZ19" s="1050"/>
      <c r="AQA19" s="1050"/>
      <c r="AQB19" s="1050"/>
      <c r="AQC19" s="1050"/>
      <c r="AQD19" s="1050"/>
      <c r="AQE19" s="1050"/>
      <c r="AQF19" s="1050"/>
      <c r="AQG19" s="1050"/>
      <c r="AQH19" s="1050"/>
      <c r="AQI19" s="1050"/>
      <c r="AQJ19" s="1050"/>
      <c r="AQK19" s="1050"/>
      <c r="AQL19" s="1050"/>
      <c r="AQM19" s="1050"/>
      <c r="AQN19" s="1050"/>
      <c r="AQO19" s="1050"/>
      <c r="AQP19" s="1050"/>
      <c r="AQQ19" s="1050"/>
      <c r="AQR19" s="1050"/>
      <c r="AQS19" s="1050"/>
      <c r="AQT19" s="1050"/>
      <c r="AQU19" s="1050"/>
      <c r="AQV19" s="1050"/>
      <c r="AQW19" s="1050"/>
      <c r="AQX19" s="1050"/>
      <c r="AQY19" s="1050"/>
      <c r="AQZ19" s="1050"/>
      <c r="ARA19" s="1050"/>
      <c r="ARB19" s="1050"/>
      <c r="ARC19" s="1050"/>
      <c r="ARD19" s="1050"/>
      <c r="ARE19" s="1050"/>
      <c r="ARF19" s="1050"/>
      <c r="ARG19" s="1050"/>
      <c r="ARH19" s="1050"/>
      <c r="ARI19" s="1050"/>
      <c r="ARJ19" s="1050"/>
      <c r="ARK19" s="1050"/>
      <c r="ARL19" s="1050"/>
      <c r="ARM19" s="1050"/>
      <c r="ARN19" s="1050"/>
      <c r="ARO19" s="1050"/>
      <c r="ARP19" s="1050"/>
      <c r="ARQ19" s="1050"/>
      <c r="ARR19" s="1050"/>
      <c r="ARS19" s="1050"/>
      <c r="ART19" s="1050"/>
      <c r="ARU19" s="1050"/>
      <c r="ARV19" s="1050"/>
      <c r="ARW19" s="1050"/>
      <c r="ARX19" s="1050"/>
      <c r="ARY19" s="1050"/>
      <c r="ARZ19" s="1050"/>
      <c r="ASA19" s="1050"/>
      <c r="ASB19" s="1050"/>
      <c r="ASC19" s="1050"/>
      <c r="ASD19" s="1050"/>
      <c r="ASE19" s="1050"/>
      <c r="ASF19" s="1050"/>
      <c r="ASG19" s="1050"/>
      <c r="ASH19" s="1050"/>
      <c r="ASI19" s="1050"/>
      <c r="ASJ19" s="1050"/>
      <c r="ASK19" s="1050"/>
      <c r="ASL19" s="1050"/>
      <c r="ASM19" s="1050"/>
      <c r="ASN19" s="1050"/>
      <c r="ASO19" s="1050"/>
      <c r="ASP19" s="1050"/>
      <c r="ASQ19" s="1050"/>
      <c r="ASR19" s="1050"/>
      <c r="ASS19" s="1050"/>
      <c r="AST19" s="1050"/>
      <c r="ASU19" s="1050"/>
      <c r="ASV19" s="1050"/>
      <c r="ASW19" s="1050"/>
      <c r="ASX19" s="1050"/>
      <c r="ASY19" s="1050"/>
      <c r="ASZ19" s="1050"/>
      <c r="ATA19" s="1050"/>
      <c r="ATB19" s="1050"/>
      <c r="ATC19" s="1050"/>
      <c r="ATD19" s="1050"/>
      <c r="ATE19" s="1050"/>
      <c r="ATF19" s="1050"/>
      <c r="ATG19" s="1050"/>
      <c r="ATH19" s="1050"/>
      <c r="ATI19" s="1050"/>
      <c r="ATJ19" s="1050"/>
      <c r="ATK19" s="1050"/>
      <c r="ATL19" s="1050"/>
      <c r="ATM19" s="1050"/>
      <c r="ATN19" s="1050"/>
      <c r="ATO19" s="1050"/>
      <c r="ATP19" s="1050"/>
      <c r="ATQ19" s="1050"/>
      <c r="ATR19" s="1050"/>
      <c r="ATS19" s="1050"/>
      <c r="ATT19" s="1050"/>
      <c r="ATU19" s="1050"/>
      <c r="ATV19" s="1050"/>
      <c r="ATW19" s="1050"/>
      <c r="ATX19" s="1050"/>
      <c r="ATY19" s="1050"/>
      <c r="ATZ19" s="1050"/>
      <c r="AUA19" s="1050"/>
      <c r="AUB19" s="1050"/>
      <c r="AUC19" s="1050"/>
      <c r="AUD19" s="1050"/>
      <c r="AUE19" s="1050"/>
      <c r="AUF19" s="1050"/>
      <c r="AUG19" s="1050"/>
      <c r="AUH19" s="1050"/>
      <c r="AUI19" s="1050"/>
      <c r="AUJ19" s="1050"/>
      <c r="AUK19" s="1050"/>
      <c r="AUL19" s="1050"/>
      <c r="AUM19" s="1050"/>
      <c r="AUN19" s="1050"/>
      <c r="AUO19" s="1050"/>
      <c r="AUP19" s="1050"/>
      <c r="AUQ19" s="1050"/>
      <c r="AUR19" s="1050"/>
      <c r="AUS19" s="1050"/>
      <c r="AUT19" s="1050"/>
      <c r="AUU19" s="1050"/>
      <c r="AUV19" s="1050"/>
      <c r="AUW19" s="1050"/>
      <c r="AUX19" s="1050"/>
      <c r="AUY19" s="1050"/>
      <c r="AUZ19" s="1050"/>
      <c r="AVA19" s="1050"/>
      <c r="AVB19" s="1050"/>
      <c r="AVC19" s="1050"/>
      <c r="AVD19" s="1050"/>
      <c r="AVE19" s="1050"/>
      <c r="AVF19" s="1050"/>
      <c r="AVG19" s="1050"/>
      <c r="AVH19" s="1050"/>
      <c r="AVI19" s="1050"/>
      <c r="AVJ19" s="1050"/>
      <c r="AVK19" s="1050"/>
      <c r="AVL19" s="1050"/>
      <c r="AVM19" s="1050"/>
      <c r="AVN19" s="1050"/>
      <c r="AVO19" s="1050"/>
      <c r="AVP19" s="1050"/>
      <c r="AVQ19" s="1050"/>
      <c r="AVR19" s="1050"/>
      <c r="AVS19" s="1050"/>
      <c r="AVT19" s="1050"/>
      <c r="AVU19" s="1050"/>
      <c r="AVV19" s="1050"/>
      <c r="AVW19" s="1050"/>
      <c r="AVX19" s="1050"/>
      <c r="AVY19" s="1050"/>
      <c r="AVZ19" s="1050"/>
      <c r="AWA19" s="1050"/>
      <c r="AWB19" s="1050"/>
      <c r="AWC19" s="1050"/>
      <c r="AWD19" s="1050"/>
      <c r="AWE19" s="1050"/>
      <c r="AWF19" s="1050"/>
      <c r="AWG19" s="1050"/>
      <c r="AWH19" s="1050"/>
      <c r="AWI19" s="1050"/>
      <c r="AWJ19" s="1050"/>
      <c r="AWK19" s="1050"/>
      <c r="AWL19" s="1050"/>
      <c r="AWM19" s="1050"/>
      <c r="AWN19" s="1050"/>
      <c r="AWO19" s="1050"/>
      <c r="AWP19" s="1050"/>
      <c r="AWQ19" s="1050"/>
      <c r="AWR19" s="1050"/>
      <c r="AWS19" s="1050"/>
      <c r="AWT19" s="1050"/>
      <c r="AWU19" s="1050"/>
      <c r="AWV19" s="1050"/>
      <c r="AWW19" s="1050"/>
      <c r="AWX19" s="1050"/>
      <c r="AWY19" s="1050"/>
      <c r="AWZ19" s="1050"/>
      <c r="AXA19" s="1050"/>
      <c r="AXB19" s="1050"/>
      <c r="AXC19" s="1050"/>
      <c r="AXD19" s="1050"/>
      <c r="AXE19" s="1050"/>
      <c r="AXF19" s="1050"/>
      <c r="AXG19" s="1050"/>
      <c r="AXH19" s="1050"/>
      <c r="AXI19" s="1050"/>
      <c r="AXJ19" s="1050"/>
      <c r="AXK19" s="1050"/>
      <c r="AXL19" s="1050"/>
      <c r="AXM19" s="1050"/>
      <c r="AXN19" s="1050"/>
      <c r="AXO19" s="1050"/>
      <c r="AXP19" s="1050"/>
      <c r="AXQ19" s="1050"/>
      <c r="AXR19" s="1050"/>
      <c r="AXS19" s="1050"/>
      <c r="AXT19" s="1050"/>
      <c r="AXU19" s="1050"/>
      <c r="AXV19" s="1050"/>
      <c r="AXW19" s="1050"/>
      <c r="AXX19" s="1050"/>
      <c r="AXY19" s="1050"/>
      <c r="AXZ19" s="1050"/>
      <c r="AYA19" s="1050"/>
      <c r="AYB19" s="1050"/>
      <c r="AYC19" s="1050"/>
      <c r="AYD19" s="1050"/>
      <c r="AYE19" s="1050"/>
      <c r="AYF19" s="1050"/>
      <c r="AYG19" s="1050"/>
      <c r="AYH19" s="1050"/>
      <c r="AYI19" s="1050"/>
      <c r="AYJ19" s="1050"/>
      <c r="AYK19" s="1050"/>
      <c r="AYL19" s="1050"/>
      <c r="AYM19" s="1050"/>
      <c r="AYN19" s="1050"/>
      <c r="AYO19" s="1050"/>
      <c r="AYP19" s="1050"/>
      <c r="AYQ19" s="1050"/>
      <c r="AYR19" s="1050"/>
      <c r="AYS19" s="1050"/>
      <c r="AYT19" s="1050"/>
      <c r="AYU19" s="1050"/>
      <c r="AYV19" s="1050"/>
      <c r="AYW19" s="1050"/>
      <c r="AYX19" s="1050"/>
      <c r="AYY19" s="1050"/>
      <c r="AYZ19" s="1050"/>
      <c r="AZA19" s="1050"/>
      <c r="AZB19" s="1050"/>
      <c r="AZC19" s="1050"/>
      <c r="AZD19" s="1050"/>
      <c r="AZE19" s="1050"/>
      <c r="AZF19" s="1050"/>
      <c r="AZG19" s="1050"/>
      <c r="AZH19" s="1050"/>
      <c r="AZI19" s="1050"/>
      <c r="AZJ19" s="1050"/>
      <c r="AZK19" s="1050"/>
      <c r="AZL19" s="1050"/>
      <c r="AZM19" s="1050"/>
      <c r="AZN19" s="1050"/>
      <c r="AZO19" s="1050"/>
      <c r="AZP19" s="1050"/>
      <c r="AZQ19" s="1050"/>
      <c r="AZR19" s="1050"/>
      <c r="AZS19" s="1050"/>
      <c r="AZT19" s="1050"/>
      <c r="AZU19" s="1050"/>
      <c r="AZV19" s="1050"/>
      <c r="AZW19" s="1050"/>
      <c r="AZX19" s="1050"/>
      <c r="AZY19" s="1050"/>
      <c r="AZZ19" s="1050"/>
      <c r="BAA19" s="1050"/>
      <c r="BAB19" s="1050"/>
      <c r="BAC19" s="1050"/>
      <c r="BAD19" s="1050"/>
      <c r="BAE19" s="1050"/>
      <c r="BAF19" s="1050"/>
      <c r="BAG19" s="1050"/>
      <c r="BAH19" s="1050"/>
      <c r="BAI19" s="1050"/>
      <c r="BAJ19" s="1050"/>
      <c r="BAK19" s="1050"/>
      <c r="BAL19" s="1050"/>
      <c r="BAM19" s="1050"/>
      <c r="BAN19" s="1050"/>
      <c r="BAO19" s="1050"/>
      <c r="BAP19" s="1050"/>
      <c r="BAQ19" s="1050"/>
      <c r="BAR19" s="1050"/>
      <c r="BAS19" s="1050"/>
      <c r="BAT19" s="1050"/>
      <c r="BAU19" s="1050"/>
      <c r="BAV19" s="1050"/>
      <c r="BAW19" s="1050"/>
      <c r="BAX19" s="1050"/>
      <c r="BAY19" s="1050"/>
      <c r="BAZ19" s="1050"/>
      <c r="BBA19" s="1050"/>
      <c r="BBB19" s="1050"/>
      <c r="BBC19" s="1050"/>
      <c r="BBD19" s="1050"/>
      <c r="BBE19" s="1050"/>
      <c r="BBF19" s="1050"/>
      <c r="BBG19" s="1050"/>
      <c r="BBH19" s="1050"/>
      <c r="BBI19" s="1050"/>
      <c r="BBJ19" s="1050"/>
      <c r="BBK19" s="1050"/>
      <c r="BBL19" s="1050"/>
      <c r="BBM19" s="1050"/>
      <c r="BBN19" s="1050"/>
      <c r="BBO19" s="1050"/>
      <c r="BBP19" s="1050"/>
      <c r="BBQ19" s="1050"/>
      <c r="BBR19" s="1050"/>
      <c r="BBS19" s="1050"/>
      <c r="BBT19" s="1050"/>
      <c r="BBU19" s="1050"/>
      <c r="BBV19" s="1050"/>
      <c r="BBW19" s="1050"/>
      <c r="BBX19" s="1050"/>
      <c r="BBY19" s="1050"/>
      <c r="BBZ19" s="1050"/>
      <c r="BCA19" s="1050"/>
      <c r="BCB19" s="1050"/>
      <c r="BCC19" s="1050"/>
      <c r="BCD19" s="1050"/>
      <c r="BCE19" s="1050"/>
      <c r="BCF19" s="1050"/>
      <c r="BCG19" s="1050"/>
      <c r="BCH19" s="1050"/>
      <c r="BCI19" s="1050"/>
      <c r="BCJ19" s="1050"/>
      <c r="BCK19" s="1050"/>
      <c r="BCL19" s="1050"/>
      <c r="BCM19" s="1050"/>
      <c r="BCN19" s="1050"/>
      <c r="BCO19" s="1050"/>
      <c r="BCP19" s="1050"/>
      <c r="BCQ19" s="1050"/>
      <c r="BCR19" s="1050"/>
      <c r="BCS19" s="1050"/>
      <c r="BCT19" s="1050"/>
      <c r="BCU19" s="1050"/>
      <c r="BCV19" s="1050"/>
      <c r="BCW19" s="1050"/>
      <c r="BCX19" s="1050"/>
      <c r="BCY19" s="1050"/>
      <c r="BCZ19" s="1050"/>
      <c r="BDA19" s="1050"/>
      <c r="BDB19" s="1050"/>
      <c r="BDC19" s="1050"/>
      <c r="BDD19" s="1050"/>
      <c r="BDE19" s="1050"/>
      <c r="BDF19" s="1050"/>
      <c r="BDG19" s="1050"/>
      <c r="BDH19" s="1050"/>
      <c r="BDI19" s="1050"/>
      <c r="BDJ19" s="1050"/>
      <c r="BDK19" s="1050"/>
      <c r="BDL19" s="1050"/>
      <c r="BDM19" s="1050"/>
      <c r="BDN19" s="1050"/>
      <c r="BDO19" s="1050"/>
      <c r="BDP19" s="1050"/>
      <c r="BDQ19" s="1050"/>
      <c r="BDR19" s="1050"/>
      <c r="BDS19" s="1050"/>
      <c r="BDT19" s="1050"/>
      <c r="BDU19" s="1050"/>
      <c r="BDV19" s="1050"/>
      <c r="BDW19" s="1050"/>
      <c r="BDX19" s="1050"/>
      <c r="BDY19" s="1050"/>
      <c r="BDZ19" s="1050"/>
      <c r="BEA19" s="1050"/>
      <c r="BEB19" s="1050"/>
      <c r="BEC19" s="1050"/>
      <c r="BED19" s="1050"/>
      <c r="BEE19" s="1050"/>
      <c r="BEF19" s="1050"/>
      <c r="BEG19" s="1050"/>
      <c r="BEH19" s="1050"/>
      <c r="BEI19" s="1050"/>
      <c r="BEJ19" s="1050"/>
      <c r="BEK19" s="1050"/>
      <c r="BEL19" s="1050"/>
      <c r="BEM19" s="1050"/>
      <c r="BEN19" s="1050"/>
      <c r="BEO19" s="1050"/>
      <c r="BEP19" s="1050"/>
      <c r="BEQ19" s="1050"/>
      <c r="BER19" s="1050"/>
      <c r="BES19" s="1050"/>
      <c r="BET19" s="1050"/>
      <c r="BEU19" s="1050"/>
      <c r="BEV19" s="1050"/>
      <c r="BEW19" s="1050"/>
      <c r="BEX19" s="1050"/>
      <c r="BEY19" s="1050"/>
      <c r="BEZ19" s="1050"/>
      <c r="BFA19" s="1050"/>
      <c r="BFB19" s="1050"/>
      <c r="BFC19" s="1050"/>
      <c r="BFD19" s="1050"/>
      <c r="BFE19" s="1050"/>
      <c r="BFF19" s="1050"/>
      <c r="BFG19" s="1050"/>
      <c r="BFH19" s="1050"/>
      <c r="BFI19" s="1050"/>
      <c r="BFJ19" s="1050"/>
      <c r="BFK19" s="1050"/>
      <c r="BFL19" s="1050"/>
      <c r="BFM19" s="1050"/>
      <c r="BFN19" s="1050"/>
      <c r="BFO19" s="1050"/>
      <c r="BFP19" s="1050"/>
      <c r="BFQ19" s="1050"/>
      <c r="BFR19" s="1050"/>
      <c r="BFS19" s="1050"/>
      <c r="BFT19" s="1050"/>
      <c r="BFU19" s="1050"/>
      <c r="BFV19" s="1050"/>
      <c r="BFW19" s="1050"/>
      <c r="BFX19" s="1050"/>
      <c r="BFY19" s="1050"/>
      <c r="BFZ19" s="1050"/>
      <c r="BGA19" s="1050"/>
      <c r="BGB19" s="1050"/>
      <c r="BGC19" s="1050"/>
      <c r="BGD19" s="1050"/>
      <c r="BGE19" s="1050"/>
      <c r="BGF19" s="1050"/>
      <c r="BGG19" s="1050"/>
      <c r="BGH19" s="1050"/>
      <c r="BGI19" s="1050"/>
      <c r="BGJ19" s="1050"/>
      <c r="BGK19" s="1050"/>
      <c r="BGL19" s="1050"/>
      <c r="BGM19" s="1050"/>
      <c r="BGN19" s="1050"/>
      <c r="BGO19" s="1050"/>
      <c r="BGP19" s="1050"/>
      <c r="BGQ19" s="1050"/>
      <c r="BGR19" s="1050"/>
      <c r="BGS19" s="1050"/>
      <c r="BGT19" s="1050"/>
      <c r="BGU19" s="1050"/>
      <c r="BGV19" s="1050"/>
      <c r="BGW19" s="1050"/>
      <c r="BGX19" s="1050"/>
      <c r="BGY19" s="1050"/>
      <c r="BGZ19" s="1050"/>
      <c r="BHA19" s="1050"/>
      <c r="BHB19" s="1050"/>
      <c r="BHC19" s="1050"/>
      <c r="BHD19" s="1050"/>
      <c r="BHE19" s="1050"/>
      <c r="BHF19" s="1050"/>
      <c r="BHG19" s="1050"/>
      <c r="BHH19" s="1050"/>
      <c r="BHI19" s="1050"/>
      <c r="BHJ19" s="1050"/>
      <c r="BHK19" s="1050"/>
      <c r="BHL19" s="1050"/>
      <c r="BHM19" s="1050"/>
      <c r="BHN19" s="1050"/>
      <c r="BHO19" s="1050"/>
      <c r="BHP19" s="1050"/>
      <c r="BHQ19" s="1050"/>
      <c r="BHR19" s="1050"/>
      <c r="BHS19" s="1050"/>
      <c r="BHT19" s="1050"/>
      <c r="BHU19" s="1050"/>
      <c r="BHV19" s="1050"/>
      <c r="BHW19" s="1050"/>
      <c r="BHX19" s="1050"/>
      <c r="BHY19" s="1050"/>
      <c r="BHZ19" s="1050"/>
      <c r="BIA19" s="1050"/>
      <c r="BIB19" s="1050"/>
      <c r="BIC19" s="1050"/>
      <c r="BID19" s="1050"/>
      <c r="BIE19" s="1050"/>
      <c r="BIF19" s="1050"/>
      <c r="BIG19" s="1050"/>
      <c r="BIH19" s="1050"/>
      <c r="BII19" s="1050"/>
      <c r="BIJ19" s="1050"/>
      <c r="BIK19" s="1050"/>
      <c r="BIL19" s="1050"/>
      <c r="BIM19" s="1050"/>
      <c r="BIN19" s="1050"/>
      <c r="BIO19" s="1050"/>
      <c r="BIP19" s="1050"/>
      <c r="BIQ19" s="1050"/>
      <c r="BIR19" s="1050"/>
      <c r="BIS19" s="1050"/>
      <c r="BIT19" s="1050"/>
      <c r="BIU19" s="1050"/>
      <c r="BIV19" s="1050"/>
      <c r="BIW19" s="1050"/>
      <c r="BIX19" s="1050"/>
      <c r="BIY19" s="1050"/>
      <c r="BIZ19" s="1050"/>
      <c r="BJA19" s="1050"/>
      <c r="BJB19" s="1050"/>
      <c r="BJC19" s="1050"/>
      <c r="BJD19" s="1050"/>
      <c r="BJE19" s="1050"/>
      <c r="BJF19" s="1050"/>
      <c r="BJG19" s="1050"/>
      <c r="BJH19" s="1050"/>
      <c r="BJI19" s="1050"/>
      <c r="BJJ19" s="1050"/>
      <c r="BJK19" s="1050"/>
      <c r="BJL19" s="1050"/>
      <c r="BJM19" s="1050"/>
      <c r="BJN19" s="1050"/>
      <c r="BJO19" s="1050"/>
      <c r="BJP19" s="1050"/>
      <c r="BJQ19" s="1050"/>
      <c r="BJR19" s="1050"/>
      <c r="BJS19" s="1050"/>
      <c r="BJT19" s="1050"/>
      <c r="BJU19" s="1050"/>
      <c r="BJV19" s="1050"/>
      <c r="BJW19" s="1050"/>
      <c r="BJX19" s="1050"/>
      <c r="BJY19" s="1050"/>
      <c r="BJZ19" s="1050"/>
      <c r="BKA19" s="1050"/>
      <c r="BKB19" s="1050"/>
      <c r="BKC19" s="1050"/>
      <c r="BKD19" s="1050"/>
      <c r="BKE19" s="1050"/>
      <c r="BKF19" s="1050"/>
      <c r="BKG19" s="1050"/>
      <c r="BKH19" s="1050"/>
      <c r="BKI19" s="1050"/>
      <c r="BKJ19" s="1050"/>
      <c r="BKK19" s="1050"/>
      <c r="BKL19" s="1050"/>
      <c r="BKM19" s="1050"/>
      <c r="BKN19" s="1050"/>
      <c r="BKO19" s="1050"/>
      <c r="BKP19" s="1050"/>
      <c r="BKQ19" s="1050"/>
      <c r="BKR19" s="1050"/>
      <c r="BKS19" s="1050"/>
      <c r="BKT19" s="1050"/>
      <c r="BKU19" s="1050"/>
      <c r="BKV19" s="1050"/>
      <c r="BKW19" s="1050"/>
      <c r="BKX19" s="1050"/>
      <c r="BKY19" s="1050"/>
      <c r="BKZ19" s="1050"/>
      <c r="BLA19" s="1050"/>
      <c r="BLB19" s="1050"/>
      <c r="BLC19" s="1050"/>
      <c r="BLD19" s="1050"/>
      <c r="BLE19" s="1050"/>
      <c r="BLF19" s="1050"/>
      <c r="BLG19" s="1050"/>
      <c r="BLH19" s="1050"/>
      <c r="BLI19" s="1050"/>
      <c r="BLJ19" s="1050"/>
      <c r="BLK19" s="1050"/>
      <c r="BLL19" s="1050"/>
      <c r="BLM19" s="1050"/>
      <c r="BLN19" s="1050"/>
      <c r="BLO19" s="1050"/>
      <c r="BLP19" s="1050"/>
      <c r="BLQ19" s="1050"/>
      <c r="BLR19" s="1050"/>
      <c r="BLS19" s="1050"/>
      <c r="BLT19" s="1050"/>
      <c r="BLU19" s="1050"/>
      <c r="BLV19" s="1050"/>
      <c r="BLW19" s="1050"/>
      <c r="BLX19" s="1050"/>
      <c r="BLY19" s="1050"/>
      <c r="BLZ19" s="1050"/>
      <c r="BMA19" s="1050"/>
      <c r="BMB19" s="1050"/>
      <c r="BMC19" s="1050"/>
      <c r="BMD19" s="1050"/>
      <c r="BME19" s="1050"/>
      <c r="BMF19" s="1050"/>
      <c r="BMG19" s="1050"/>
      <c r="BMH19" s="1050"/>
      <c r="BMI19" s="1050"/>
      <c r="BMJ19" s="1050"/>
      <c r="BMK19" s="1050"/>
      <c r="BML19" s="1050"/>
      <c r="BMM19" s="1050"/>
      <c r="BMN19" s="1050"/>
      <c r="BMO19" s="1050"/>
      <c r="BMP19" s="1050"/>
      <c r="BMQ19" s="1050"/>
      <c r="BMR19" s="1050"/>
      <c r="BMS19" s="1050"/>
      <c r="BMT19" s="1050"/>
      <c r="BMU19" s="1050"/>
      <c r="BMV19" s="1050"/>
      <c r="BMW19" s="1050"/>
      <c r="BMX19" s="1050"/>
      <c r="BMY19" s="1050"/>
      <c r="BMZ19" s="1050"/>
      <c r="BNA19" s="1050"/>
      <c r="BNB19" s="1050"/>
      <c r="BNC19" s="1050"/>
      <c r="BND19" s="1050"/>
      <c r="BNE19" s="1050"/>
      <c r="BNF19" s="1050"/>
      <c r="BNG19" s="1050"/>
      <c r="BNH19" s="1050"/>
      <c r="BNI19" s="1050"/>
      <c r="BNJ19" s="1050"/>
      <c r="BNK19" s="1050"/>
      <c r="BNL19" s="1050"/>
      <c r="BNM19" s="1050"/>
      <c r="BNN19" s="1050"/>
      <c r="BNO19" s="1050"/>
      <c r="BNP19" s="1050"/>
      <c r="BNQ19" s="1050"/>
      <c r="BNR19" s="1050"/>
      <c r="BNS19" s="1050"/>
      <c r="BNT19" s="1050"/>
      <c r="BNU19" s="1050"/>
      <c r="BNV19" s="1050"/>
      <c r="BNW19" s="1050"/>
      <c r="BNX19" s="1050"/>
      <c r="BNY19" s="1050"/>
      <c r="BNZ19" s="1050"/>
      <c r="BOA19" s="1050"/>
      <c r="BOB19" s="1050"/>
      <c r="BOC19" s="1050"/>
      <c r="BOD19" s="1050"/>
      <c r="BOE19" s="1050"/>
      <c r="BOF19" s="1050"/>
      <c r="BOG19" s="1050"/>
      <c r="BOH19" s="1050"/>
      <c r="BOI19" s="1050"/>
      <c r="BOJ19" s="1050"/>
      <c r="BOK19" s="1050"/>
      <c r="BOL19" s="1050"/>
      <c r="BOM19" s="1050"/>
      <c r="BON19" s="1050"/>
      <c r="BOO19" s="1050"/>
      <c r="BOP19" s="1050"/>
      <c r="BOQ19" s="1050"/>
      <c r="BOR19" s="1050"/>
      <c r="BOS19" s="1050"/>
      <c r="BOT19" s="1050"/>
      <c r="BOU19" s="1050"/>
      <c r="BOV19" s="1050"/>
      <c r="BOW19" s="1050"/>
      <c r="BOX19" s="1050"/>
      <c r="BOY19" s="1050"/>
      <c r="BOZ19" s="1050"/>
      <c r="BPA19" s="1050"/>
      <c r="BPB19" s="1050"/>
      <c r="BPC19" s="1050"/>
      <c r="BPD19" s="1050"/>
      <c r="BPE19" s="1050"/>
      <c r="BPF19" s="1050"/>
      <c r="BPG19" s="1050"/>
      <c r="BPH19" s="1050"/>
      <c r="BPI19" s="1050"/>
      <c r="BPJ19" s="1050"/>
      <c r="BPK19" s="1050"/>
      <c r="BPL19" s="1050"/>
      <c r="BPM19" s="1050"/>
      <c r="BPN19" s="1050"/>
      <c r="BPO19" s="1050"/>
      <c r="BPP19" s="1050"/>
      <c r="BPQ19" s="1050"/>
      <c r="BPR19" s="1050"/>
      <c r="BPS19" s="1050"/>
      <c r="BPT19" s="1050"/>
      <c r="BPU19" s="1050"/>
      <c r="BPV19" s="1050"/>
      <c r="BPW19" s="1050"/>
      <c r="BPX19" s="1050"/>
      <c r="BPY19" s="1050"/>
      <c r="BPZ19" s="1050"/>
      <c r="BQA19" s="1050"/>
      <c r="BQB19" s="1050"/>
      <c r="BQC19" s="1050"/>
      <c r="BQD19" s="1050"/>
      <c r="BQE19" s="1050"/>
      <c r="BQF19" s="1050"/>
      <c r="BQG19" s="1050"/>
      <c r="BQH19" s="1050"/>
      <c r="BQI19" s="1050"/>
      <c r="BQJ19" s="1050"/>
      <c r="BQK19" s="1050"/>
      <c r="BQL19" s="1050"/>
      <c r="BQM19" s="1050"/>
      <c r="BQN19" s="1050"/>
      <c r="BQO19" s="1050"/>
      <c r="BQP19" s="1050"/>
      <c r="BQQ19" s="1050"/>
      <c r="BQR19" s="1050"/>
      <c r="BQS19" s="1050"/>
      <c r="BQT19" s="1050"/>
      <c r="BQU19" s="1050"/>
      <c r="BQV19" s="1050"/>
      <c r="BQW19" s="1050"/>
      <c r="BQX19" s="1050"/>
      <c r="BQY19" s="1050"/>
      <c r="BQZ19" s="1050"/>
      <c r="BRA19" s="1050"/>
      <c r="BRB19" s="1050"/>
      <c r="BRC19" s="1050"/>
      <c r="BRD19" s="1050"/>
      <c r="BRE19" s="1050"/>
      <c r="BRF19" s="1050"/>
      <c r="BRG19" s="1050"/>
      <c r="BRH19" s="1050"/>
      <c r="BRI19" s="1050"/>
      <c r="BRJ19" s="1050"/>
      <c r="BRK19" s="1050"/>
      <c r="BRL19" s="1050"/>
      <c r="BRM19" s="1050"/>
      <c r="BRN19" s="1050"/>
      <c r="BRO19" s="1050"/>
      <c r="BRP19" s="1050"/>
      <c r="BRQ19" s="1050"/>
      <c r="BRR19" s="1050"/>
      <c r="BRS19" s="1050"/>
      <c r="BRT19" s="1050"/>
      <c r="BRU19" s="1050"/>
      <c r="BRV19" s="1050"/>
      <c r="BRW19" s="1050"/>
      <c r="BRX19" s="1050"/>
      <c r="BRY19" s="1050"/>
      <c r="BRZ19" s="1050"/>
      <c r="BSA19" s="1050"/>
      <c r="BSB19" s="1050"/>
      <c r="BSC19" s="1050"/>
      <c r="BSD19" s="1050"/>
      <c r="BSE19" s="1050"/>
      <c r="BSF19" s="1050"/>
      <c r="BSG19" s="1050"/>
      <c r="BSH19" s="1050"/>
      <c r="BSI19" s="1050"/>
      <c r="BSJ19" s="1050"/>
      <c r="BSK19" s="1050"/>
      <c r="BSL19" s="1050"/>
      <c r="BSM19" s="1050"/>
      <c r="BSN19" s="1050"/>
      <c r="BSO19" s="1050"/>
      <c r="BSP19" s="1050"/>
      <c r="BSQ19" s="1050"/>
      <c r="BSR19" s="1050"/>
      <c r="BSS19" s="1050"/>
      <c r="BST19" s="1050"/>
      <c r="BSU19" s="1050"/>
      <c r="BSV19" s="1050"/>
      <c r="BSW19" s="1050"/>
      <c r="BSX19" s="1050"/>
      <c r="BSY19" s="1050"/>
      <c r="BSZ19" s="1050"/>
      <c r="BTA19" s="1050"/>
      <c r="BTB19" s="1050"/>
      <c r="BTC19" s="1050"/>
      <c r="BTD19" s="1050"/>
      <c r="BTE19" s="1050"/>
      <c r="BTF19" s="1050"/>
      <c r="BTG19" s="1050"/>
      <c r="BTH19" s="1050"/>
      <c r="BTI19" s="1050"/>
      <c r="BTJ19" s="1050"/>
      <c r="BTK19" s="1050"/>
      <c r="BTL19" s="1050"/>
      <c r="BTM19" s="1050"/>
      <c r="BTN19" s="1050"/>
      <c r="BTO19" s="1050"/>
      <c r="BTP19" s="1050"/>
      <c r="BTQ19" s="1050"/>
      <c r="BTR19" s="1050"/>
      <c r="BTS19" s="1050"/>
      <c r="BTT19" s="1050"/>
      <c r="BTU19" s="1050"/>
      <c r="BTV19" s="1050"/>
      <c r="BTW19" s="1050"/>
      <c r="BTX19" s="1050"/>
      <c r="BTY19" s="1050"/>
      <c r="BTZ19" s="1050"/>
      <c r="BUA19" s="1050"/>
      <c r="BUB19" s="1050"/>
      <c r="BUC19" s="1050"/>
      <c r="BUD19" s="1050"/>
      <c r="BUE19" s="1050"/>
      <c r="BUF19" s="1050"/>
      <c r="BUG19" s="1050"/>
      <c r="BUH19" s="1050"/>
      <c r="BUI19" s="1050"/>
      <c r="BUJ19" s="1050"/>
      <c r="BUK19" s="1050"/>
      <c r="BUL19" s="1050"/>
      <c r="BUM19" s="1050"/>
      <c r="BUN19" s="1050"/>
      <c r="BUO19" s="1050"/>
      <c r="BUP19" s="1050"/>
      <c r="BUQ19" s="1050"/>
      <c r="BUR19" s="1050"/>
      <c r="BUS19" s="1050"/>
      <c r="BUT19" s="1050"/>
      <c r="BUU19" s="1050"/>
      <c r="BUV19" s="1050"/>
      <c r="BUW19" s="1050"/>
      <c r="BUX19" s="1050"/>
      <c r="BUY19" s="1050"/>
      <c r="BUZ19" s="1050"/>
      <c r="BVA19" s="1050"/>
      <c r="BVB19" s="1050"/>
      <c r="BVC19" s="1050"/>
      <c r="BVD19" s="1050"/>
      <c r="BVE19" s="1050"/>
      <c r="BVF19" s="1050"/>
      <c r="BVG19" s="1050"/>
      <c r="BVH19" s="1050"/>
      <c r="BVI19" s="1050"/>
      <c r="BVJ19" s="1050"/>
      <c r="BVK19" s="1050"/>
      <c r="BVL19" s="1050"/>
      <c r="BVM19" s="1050"/>
      <c r="BVN19" s="1050"/>
      <c r="BVO19" s="1050"/>
      <c r="BVP19" s="1050"/>
      <c r="BVQ19" s="1050"/>
      <c r="BVR19" s="1050"/>
      <c r="BVS19" s="1050"/>
      <c r="BVT19" s="1050"/>
      <c r="BVU19" s="1050"/>
      <c r="BVV19" s="1050"/>
      <c r="BVW19" s="1050"/>
      <c r="BVX19" s="1050"/>
      <c r="BVY19" s="1050"/>
      <c r="BVZ19" s="1050"/>
      <c r="BWA19" s="1050"/>
      <c r="BWB19" s="1050"/>
      <c r="BWC19" s="1050"/>
      <c r="BWD19" s="1050"/>
      <c r="BWE19" s="1050"/>
      <c r="BWF19" s="1050"/>
      <c r="BWG19" s="1050"/>
      <c r="BWH19" s="1050"/>
      <c r="BWI19" s="1050"/>
      <c r="BWJ19" s="1050"/>
      <c r="BWK19" s="1050"/>
      <c r="BWL19" s="1050"/>
      <c r="BWM19" s="1050"/>
      <c r="BWN19" s="1050"/>
      <c r="BWO19" s="1050"/>
      <c r="BWP19" s="1050"/>
      <c r="BWQ19" s="1050"/>
      <c r="BWR19" s="1050"/>
      <c r="BWS19" s="1050"/>
      <c r="BWT19" s="1050"/>
      <c r="BWU19" s="1050"/>
      <c r="BWV19" s="1050"/>
      <c r="BWW19" s="1050"/>
      <c r="BWX19" s="1050"/>
      <c r="BWY19" s="1050"/>
      <c r="BWZ19" s="1050"/>
      <c r="BXA19" s="1050"/>
      <c r="BXB19" s="1050"/>
      <c r="BXC19" s="1050"/>
      <c r="BXD19" s="1050"/>
      <c r="BXE19" s="1050"/>
      <c r="BXF19" s="1050"/>
      <c r="BXG19" s="1050"/>
      <c r="BXH19" s="1050"/>
      <c r="BXI19" s="1050"/>
      <c r="BXJ19" s="1050"/>
      <c r="BXK19" s="1050"/>
      <c r="BXL19" s="1050"/>
      <c r="BXM19" s="1050"/>
      <c r="BXN19" s="1050"/>
      <c r="BXO19" s="1050"/>
      <c r="BXP19" s="1050"/>
      <c r="BXQ19" s="1050"/>
      <c r="BXR19" s="1050"/>
      <c r="BXS19" s="1050"/>
      <c r="BXT19" s="1050"/>
      <c r="BXU19" s="1050"/>
      <c r="BXV19" s="1050"/>
      <c r="BXW19" s="1050"/>
      <c r="BXX19" s="1050"/>
      <c r="BXY19" s="1050"/>
      <c r="BXZ19" s="1050"/>
      <c r="BYA19" s="1050"/>
      <c r="BYB19" s="1050"/>
      <c r="BYC19" s="1050"/>
      <c r="BYD19" s="1050"/>
      <c r="BYE19" s="1050"/>
      <c r="BYF19" s="1050"/>
      <c r="BYG19" s="1050"/>
      <c r="BYH19" s="1050"/>
      <c r="BYI19" s="1050"/>
      <c r="BYJ19" s="1050"/>
      <c r="BYK19" s="1050"/>
      <c r="BYL19" s="1050"/>
      <c r="BYM19" s="1050"/>
      <c r="BYN19" s="1050"/>
      <c r="BYO19" s="1050"/>
      <c r="BYP19" s="1050"/>
      <c r="BYQ19" s="1050"/>
      <c r="BYR19" s="1050"/>
      <c r="BYS19" s="1050"/>
      <c r="BYT19" s="1050"/>
      <c r="BYU19" s="1050"/>
      <c r="BYV19" s="1050"/>
      <c r="BYW19" s="1050"/>
      <c r="BYX19" s="1050"/>
      <c r="BYY19" s="1050"/>
      <c r="BYZ19" s="1050"/>
      <c r="BZA19" s="1050"/>
      <c r="BZB19" s="1050"/>
      <c r="BZC19" s="1050"/>
      <c r="BZD19" s="1050"/>
      <c r="BZE19" s="1050"/>
      <c r="BZF19" s="1050"/>
      <c r="BZG19" s="1050"/>
      <c r="BZH19" s="1050"/>
      <c r="BZI19" s="1050"/>
      <c r="BZJ19" s="1050"/>
      <c r="BZK19" s="1050"/>
      <c r="BZL19" s="1050"/>
      <c r="BZM19" s="1050"/>
      <c r="BZN19" s="1050"/>
      <c r="BZO19" s="1050"/>
      <c r="BZP19" s="1050"/>
      <c r="BZQ19" s="1050"/>
      <c r="BZR19" s="1050"/>
      <c r="BZS19" s="1050"/>
      <c r="BZT19" s="1050"/>
      <c r="BZU19" s="1050"/>
      <c r="BZV19" s="1050"/>
      <c r="BZW19" s="1050"/>
      <c r="BZX19" s="1050"/>
      <c r="BZY19" s="1050"/>
      <c r="BZZ19" s="1050"/>
      <c r="CAA19" s="1050"/>
      <c r="CAB19" s="1050"/>
      <c r="CAC19" s="1050"/>
      <c r="CAD19" s="1050"/>
      <c r="CAE19" s="1050"/>
      <c r="CAF19" s="1050"/>
      <c r="CAG19" s="1050"/>
      <c r="CAH19" s="1050"/>
      <c r="CAI19" s="1050"/>
      <c r="CAJ19" s="1050"/>
      <c r="CAK19" s="1050"/>
      <c r="CAL19" s="1050"/>
      <c r="CAM19" s="1050"/>
      <c r="CAN19" s="1050"/>
      <c r="CAO19" s="1050"/>
      <c r="CAP19" s="1050"/>
      <c r="CAQ19" s="1050"/>
      <c r="CAR19" s="1050"/>
      <c r="CAS19" s="1050"/>
      <c r="CAT19" s="1050"/>
      <c r="CAU19" s="1050"/>
      <c r="CAV19" s="1050"/>
      <c r="CAW19" s="1050"/>
      <c r="CAX19" s="1050"/>
      <c r="CAY19" s="1050"/>
      <c r="CAZ19" s="1050"/>
      <c r="CBA19" s="1050"/>
      <c r="CBB19" s="1050"/>
      <c r="CBC19" s="1050"/>
      <c r="CBD19" s="1050"/>
      <c r="CBE19" s="1050"/>
      <c r="CBF19" s="1050"/>
      <c r="CBG19" s="1050"/>
      <c r="CBH19" s="1050"/>
      <c r="CBI19" s="1050"/>
      <c r="CBJ19" s="1050"/>
      <c r="CBK19" s="1050"/>
      <c r="CBL19" s="1050"/>
      <c r="CBM19" s="1050"/>
      <c r="CBN19" s="1050"/>
      <c r="CBO19" s="1050"/>
      <c r="CBP19" s="1050"/>
      <c r="CBQ19" s="1050"/>
      <c r="CBR19" s="1050"/>
      <c r="CBS19" s="1050"/>
      <c r="CBT19" s="1050"/>
      <c r="CBU19" s="1050"/>
      <c r="CBV19" s="1050"/>
      <c r="CBW19" s="1050"/>
      <c r="CBX19" s="1050"/>
      <c r="CBY19" s="1050"/>
      <c r="CBZ19" s="1050"/>
      <c r="CCA19" s="1050"/>
      <c r="CCB19" s="1050"/>
      <c r="CCC19" s="1050"/>
      <c r="CCD19" s="1050"/>
      <c r="CCE19" s="1050"/>
      <c r="CCF19" s="1050"/>
      <c r="CCG19" s="1050"/>
      <c r="CCH19" s="1050"/>
      <c r="CCI19" s="1050"/>
      <c r="CCJ19" s="1050"/>
      <c r="CCK19" s="1050"/>
      <c r="CCL19" s="1050"/>
      <c r="CCM19" s="1050"/>
      <c r="CCN19" s="1050"/>
      <c r="CCO19" s="1050"/>
      <c r="CCP19" s="1050"/>
      <c r="CCQ19" s="1050"/>
      <c r="CCR19" s="1050"/>
      <c r="CCS19" s="1050"/>
      <c r="CCT19" s="1050"/>
      <c r="CCU19" s="1050"/>
      <c r="CCV19" s="1050"/>
      <c r="CCW19" s="1050"/>
      <c r="CCX19" s="1050"/>
      <c r="CCY19" s="1050"/>
      <c r="CCZ19" s="1050"/>
      <c r="CDA19" s="1050"/>
      <c r="CDB19" s="1050"/>
      <c r="CDC19" s="1050"/>
      <c r="CDD19" s="1050"/>
      <c r="CDE19" s="1050"/>
      <c r="CDF19" s="1050"/>
      <c r="CDG19" s="1050"/>
      <c r="CDH19" s="1050"/>
      <c r="CDI19" s="1050"/>
      <c r="CDJ19" s="1050"/>
      <c r="CDK19" s="1050"/>
      <c r="CDL19" s="1050"/>
      <c r="CDM19" s="1050"/>
      <c r="CDN19" s="1050"/>
      <c r="CDO19" s="1050"/>
      <c r="CDP19" s="1050"/>
      <c r="CDQ19" s="1050"/>
      <c r="CDR19" s="1050"/>
      <c r="CDS19" s="1050"/>
      <c r="CDT19" s="1050"/>
      <c r="CDU19" s="1050"/>
      <c r="CDV19" s="1050"/>
      <c r="CDW19" s="1050"/>
      <c r="CDX19" s="1050"/>
      <c r="CDY19" s="1050"/>
      <c r="CDZ19" s="1050"/>
      <c r="CEA19" s="1050"/>
      <c r="CEB19" s="1050"/>
      <c r="CEC19" s="1050"/>
      <c r="CED19" s="1050"/>
      <c r="CEE19" s="1050"/>
      <c r="CEF19" s="1050"/>
      <c r="CEG19" s="1050"/>
      <c r="CEH19" s="1050"/>
      <c r="CEI19" s="1050"/>
      <c r="CEJ19" s="1050"/>
      <c r="CEK19" s="1050"/>
      <c r="CEL19" s="1050"/>
      <c r="CEM19" s="1050"/>
      <c r="CEN19" s="1050"/>
      <c r="CEO19" s="1050"/>
      <c r="CEP19" s="1050"/>
      <c r="CEQ19" s="1050"/>
      <c r="CER19" s="1050"/>
      <c r="CES19" s="1050"/>
      <c r="CET19" s="1050"/>
      <c r="CEU19" s="1050"/>
      <c r="CEV19" s="1050"/>
      <c r="CEW19" s="1050"/>
      <c r="CEX19" s="1050"/>
      <c r="CEY19" s="1050"/>
      <c r="CEZ19" s="1050"/>
      <c r="CFA19" s="1050"/>
      <c r="CFB19" s="1050"/>
      <c r="CFC19" s="1050"/>
      <c r="CFD19" s="1050"/>
      <c r="CFE19" s="1050"/>
      <c r="CFF19" s="1050"/>
      <c r="CFG19" s="1050"/>
      <c r="CFH19" s="1050"/>
      <c r="CFI19" s="1050"/>
      <c r="CFJ19" s="1050"/>
      <c r="CFK19" s="1050"/>
      <c r="CFL19" s="1050"/>
      <c r="CFM19" s="1050"/>
      <c r="CFN19" s="1050"/>
      <c r="CFO19" s="1050"/>
      <c r="CFP19" s="1050"/>
      <c r="CFQ19" s="1050"/>
      <c r="CFR19" s="1050"/>
      <c r="CFS19" s="1050"/>
      <c r="CFT19" s="1050"/>
      <c r="CFU19" s="1050"/>
      <c r="CFV19" s="1050"/>
      <c r="CFW19" s="1050"/>
      <c r="CFX19" s="1050"/>
      <c r="CFY19" s="1050"/>
      <c r="CFZ19" s="1050"/>
      <c r="CGA19" s="1050"/>
      <c r="CGB19" s="1050"/>
      <c r="CGC19" s="1050"/>
      <c r="CGD19" s="1050"/>
      <c r="CGE19" s="1050"/>
      <c r="CGF19" s="1050"/>
      <c r="CGG19" s="1050"/>
      <c r="CGH19" s="1050"/>
      <c r="CGI19" s="1050"/>
      <c r="CGJ19" s="1050"/>
      <c r="CGK19" s="1050"/>
      <c r="CGL19" s="1050"/>
      <c r="CGM19" s="1050"/>
      <c r="CGN19" s="1050"/>
      <c r="CGO19" s="1050"/>
      <c r="CGP19" s="1050"/>
      <c r="CGQ19" s="1050"/>
      <c r="CGR19" s="1050"/>
      <c r="CGS19" s="1050"/>
      <c r="CGT19" s="1050"/>
      <c r="CGU19" s="1050"/>
      <c r="CGV19" s="1050"/>
      <c r="CGW19" s="1050"/>
      <c r="CGX19" s="1050"/>
      <c r="CGY19" s="1050"/>
      <c r="CGZ19" s="1050"/>
      <c r="CHA19" s="1050"/>
      <c r="CHB19" s="1050"/>
      <c r="CHC19" s="1050"/>
      <c r="CHD19" s="1050"/>
      <c r="CHE19" s="1050"/>
      <c r="CHF19" s="1050"/>
      <c r="CHG19" s="1050"/>
      <c r="CHH19" s="1050"/>
      <c r="CHI19" s="1050"/>
      <c r="CHJ19" s="1050"/>
      <c r="CHK19" s="1050"/>
      <c r="CHL19" s="1050"/>
      <c r="CHM19" s="1050"/>
      <c r="CHN19" s="1050"/>
      <c r="CHO19" s="1050"/>
      <c r="CHP19" s="1050"/>
      <c r="CHQ19" s="1050"/>
      <c r="CHR19" s="1050"/>
      <c r="CHS19" s="1050"/>
      <c r="CHT19" s="1050"/>
      <c r="CHU19" s="1050"/>
      <c r="CHV19" s="1050"/>
      <c r="CHW19" s="1050"/>
      <c r="CHX19" s="1050"/>
      <c r="CHY19" s="1050"/>
      <c r="CHZ19" s="1050"/>
      <c r="CIA19" s="1050"/>
      <c r="CIB19" s="1050"/>
      <c r="CIC19" s="1050"/>
      <c r="CID19" s="1050"/>
      <c r="CIE19" s="1050"/>
      <c r="CIF19" s="1050"/>
      <c r="CIG19" s="1050"/>
      <c r="CIH19" s="1050"/>
      <c r="CII19" s="1050"/>
      <c r="CIJ19" s="1050"/>
      <c r="CIK19" s="1050"/>
      <c r="CIL19" s="1050"/>
      <c r="CIM19" s="1050"/>
      <c r="CIN19" s="1050"/>
      <c r="CIO19" s="1050"/>
      <c r="CIP19" s="1050"/>
      <c r="CIQ19" s="1050"/>
      <c r="CIR19" s="1050"/>
      <c r="CIS19" s="1050"/>
      <c r="CIT19" s="1050"/>
      <c r="CIU19" s="1050"/>
      <c r="CIV19" s="1050"/>
      <c r="CIW19" s="1050"/>
      <c r="CIX19" s="1050"/>
      <c r="CIY19" s="1050"/>
      <c r="CIZ19" s="1050"/>
      <c r="CJA19" s="1050"/>
      <c r="CJB19" s="1050"/>
      <c r="CJC19" s="1050"/>
      <c r="CJD19" s="1050"/>
      <c r="CJE19" s="1050"/>
      <c r="CJF19" s="1050"/>
      <c r="CJG19" s="1050"/>
      <c r="CJH19" s="1050"/>
      <c r="CJI19" s="1050"/>
      <c r="CJJ19" s="1050"/>
      <c r="CJK19" s="1050"/>
      <c r="CJL19" s="1050"/>
      <c r="CJM19" s="1050"/>
      <c r="CJN19" s="1050"/>
      <c r="CJO19" s="1050"/>
      <c r="CJP19" s="1050"/>
      <c r="CJQ19" s="1050"/>
      <c r="CJR19" s="1050"/>
      <c r="CJS19" s="1050"/>
      <c r="CJT19" s="1050"/>
      <c r="CJU19" s="1050"/>
      <c r="CJV19" s="1050"/>
      <c r="CJW19" s="1050"/>
      <c r="CJX19" s="1050"/>
      <c r="CJY19" s="1050"/>
      <c r="CJZ19" s="1050"/>
      <c r="CKA19" s="1050"/>
      <c r="CKB19" s="1050"/>
      <c r="CKC19" s="1050"/>
      <c r="CKD19" s="1050"/>
      <c r="CKE19" s="1050"/>
      <c r="CKF19" s="1050"/>
      <c r="CKG19" s="1050"/>
      <c r="CKH19" s="1050"/>
      <c r="CKI19" s="1050"/>
      <c r="CKJ19" s="1050"/>
      <c r="CKK19" s="1050"/>
      <c r="CKL19" s="1050"/>
      <c r="CKM19" s="1050"/>
      <c r="CKN19" s="1050"/>
      <c r="CKO19" s="1050"/>
      <c r="CKP19" s="1050"/>
      <c r="CKQ19" s="1050"/>
      <c r="CKR19" s="1050"/>
      <c r="CKS19" s="1050"/>
      <c r="CKT19" s="1050"/>
      <c r="CKU19" s="1050"/>
      <c r="CKV19" s="1050"/>
      <c r="CKW19" s="1050"/>
      <c r="CKX19" s="1050"/>
      <c r="CKY19" s="1050"/>
      <c r="CKZ19" s="1050"/>
      <c r="CLA19" s="1050"/>
      <c r="CLB19" s="1050"/>
      <c r="CLC19" s="1050"/>
      <c r="CLD19" s="1050"/>
      <c r="CLE19" s="1050"/>
      <c r="CLF19" s="1050"/>
      <c r="CLG19" s="1050"/>
      <c r="CLH19" s="1050"/>
      <c r="CLI19" s="1050"/>
      <c r="CLJ19" s="1050"/>
      <c r="CLK19" s="1050"/>
      <c r="CLL19" s="1050"/>
      <c r="CLM19" s="1050"/>
      <c r="CLN19" s="1050"/>
      <c r="CLO19" s="1050"/>
      <c r="CLP19" s="1050"/>
      <c r="CLQ19" s="1050"/>
      <c r="CLR19" s="1050"/>
      <c r="CLS19" s="1050"/>
      <c r="CLT19" s="1050"/>
      <c r="CLU19" s="1050"/>
      <c r="CLV19" s="1050"/>
      <c r="CLW19" s="1050"/>
      <c r="CLX19" s="1050"/>
      <c r="CLY19" s="1050"/>
      <c r="CLZ19" s="1050"/>
      <c r="CMA19" s="1050"/>
      <c r="CMB19" s="1050"/>
      <c r="CMC19" s="1050"/>
      <c r="CMD19" s="1050"/>
      <c r="CME19" s="1050"/>
      <c r="CMF19" s="1050"/>
      <c r="CMG19" s="1050"/>
      <c r="CMH19" s="1050"/>
      <c r="CMI19" s="1050"/>
      <c r="CMJ19" s="1050"/>
      <c r="CMK19" s="1050"/>
      <c r="CML19" s="1050"/>
      <c r="CMM19" s="1050"/>
      <c r="CMN19" s="1050"/>
      <c r="CMO19" s="1050"/>
      <c r="CMP19" s="1050"/>
      <c r="CMQ19" s="1050"/>
      <c r="CMR19" s="1050"/>
      <c r="CMS19" s="1050"/>
      <c r="CMT19" s="1050"/>
      <c r="CMU19" s="1050"/>
      <c r="CMV19" s="1050"/>
      <c r="CMW19" s="1050"/>
      <c r="CMX19" s="1050"/>
      <c r="CMY19" s="1050"/>
      <c r="CMZ19" s="1050"/>
      <c r="CNA19" s="1050"/>
      <c r="CNB19" s="1050"/>
      <c r="CNC19" s="1050"/>
      <c r="CND19" s="1050"/>
      <c r="CNE19" s="1050"/>
      <c r="CNF19" s="1050"/>
      <c r="CNG19" s="1050"/>
      <c r="CNH19" s="1050"/>
      <c r="CNI19" s="1050"/>
      <c r="CNJ19" s="1050"/>
      <c r="CNK19" s="1050"/>
      <c r="CNL19" s="1050"/>
      <c r="CNM19" s="1050"/>
      <c r="CNN19" s="1050"/>
      <c r="CNO19" s="1050"/>
      <c r="CNP19" s="1050"/>
      <c r="CNQ19" s="1050"/>
      <c r="CNR19" s="1050"/>
      <c r="CNS19" s="1050"/>
      <c r="CNT19" s="1050"/>
      <c r="CNU19" s="1050"/>
      <c r="CNV19" s="1050"/>
      <c r="CNW19" s="1050"/>
      <c r="CNX19" s="1050"/>
      <c r="CNY19" s="1050"/>
      <c r="CNZ19" s="1050"/>
      <c r="COA19" s="1050"/>
      <c r="COB19" s="1050"/>
      <c r="COC19" s="1050"/>
      <c r="COD19" s="1050"/>
      <c r="COE19" s="1050"/>
      <c r="COF19" s="1050"/>
      <c r="COG19" s="1050"/>
      <c r="COH19" s="1050"/>
      <c r="COI19" s="1050"/>
      <c r="COJ19" s="1050"/>
      <c r="COK19" s="1050"/>
      <c r="COL19" s="1050"/>
      <c r="COM19" s="1050"/>
      <c r="CON19" s="1050"/>
      <c r="COO19" s="1050"/>
      <c r="COP19" s="1050"/>
      <c r="COQ19" s="1050"/>
      <c r="COR19" s="1050"/>
      <c r="COS19" s="1050"/>
      <c r="COT19" s="1050"/>
      <c r="COU19" s="1050"/>
      <c r="COV19" s="1050"/>
      <c r="COW19" s="1050"/>
      <c r="COX19" s="1050"/>
      <c r="COY19" s="1050"/>
      <c r="COZ19" s="1050"/>
      <c r="CPA19" s="1050"/>
      <c r="CPB19" s="1050"/>
      <c r="CPC19" s="1050"/>
      <c r="CPD19" s="1050"/>
      <c r="CPE19" s="1050"/>
      <c r="CPF19" s="1050"/>
      <c r="CPG19" s="1050"/>
      <c r="CPH19" s="1050"/>
      <c r="CPI19" s="1050"/>
      <c r="CPJ19" s="1050"/>
      <c r="CPK19" s="1050"/>
      <c r="CPL19" s="1050"/>
      <c r="CPM19" s="1050"/>
      <c r="CPN19" s="1050"/>
      <c r="CPO19" s="1050"/>
      <c r="CPP19" s="1050"/>
      <c r="CPQ19" s="1050"/>
      <c r="CPR19" s="1050"/>
      <c r="CPS19" s="1050"/>
      <c r="CPT19" s="1050"/>
      <c r="CPU19" s="1050"/>
      <c r="CPV19" s="1050"/>
      <c r="CPW19" s="1050"/>
      <c r="CPX19" s="1050"/>
      <c r="CPY19" s="1050"/>
      <c r="CPZ19" s="1050"/>
      <c r="CQA19" s="1050"/>
      <c r="CQB19" s="1050"/>
      <c r="CQC19" s="1050"/>
      <c r="CQD19" s="1050"/>
      <c r="CQE19" s="1050"/>
      <c r="CQF19" s="1050"/>
      <c r="CQG19" s="1050"/>
      <c r="CQH19" s="1050"/>
      <c r="CQI19" s="1050"/>
      <c r="CQJ19" s="1050"/>
      <c r="CQK19" s="1050"/>
      <c r="CQL19" s="1050"/>
      <c r="CQM19" s="1050"/>
      <c r="CQN19" s="1050"/>
      <c r="CQO19" s="1050"/>
      <c r="CQP19" s="1050"/>
      <c r="CQQ19" s="1050"/>
      <c r="CQR19" s="1050"/>
      <c r="CQS19" s="1050"/>
      <c r="CQT19" s="1050"/>
      <c r="CQU19" s="1050"/>
      <c r="CQV19" s="1050"/>
      <c r="CQW19" s="1050"/>
      <c r="CQX19" s="1050"/>
      <c r="CQY19" s="1050"/>
      <c r="CQZ19" s="1050"/>
      <c r="CRA19" s="1050"/>
      <c r="CRB19" s="1050"/>
      <c r="CRC19" s="1050"/>
      <c r="CRD19" s="1050"/>
      <c r="CRE19" s="1050"/>
      <c r="CRF19" s="1050"/>
      <c r="CRG19" s="1050"/>
      <c r="CRH19" s="1050"/>
      <c r="CRI19" s="1050"/>
      <c r="CRJ19" s="1050"/>
      <c r="CRK19" s="1050"/>
      <c r="CRL19" s="1050"/>
      <c r="CRM19" s="1050"/>
      <c r="CRN19" s="1050"/>
      <c r="CRO19" s="1050"/>
      <c r="CRP19" s="1050"/>
      <c r="CRQ19" s="1050"/>
      <c r="CRR19" s="1050"/>
      <c r="CRS19" s="1050"/>
      <c r="CRT19" s="1050"/>
      <c r="CRU19" s="1050"/>
      <c r="CRV19" s="1050"/>
      <c r="CRW19" s="1050"/>
      <c r="CRX19" s="1050"/>
      <c r="CRY19" s="1050"/>
      <c r="CRZ19" s="1050"/>
      <c r="CSA19" s="1050"/>
      <c r="CSB19" s="1050"/>
      <c r="CSC19" s="1050"/>
      <c r="CSD19" s="1050"/>
      <c r="CSE19" s="1050"/>
      <c r="CSF19" s="1050"/>
      <c r="CSG19" s="1050"/>
      <c r="CSH19" s="1050"/>
      <c r="CSI19" s="1050"/>
      <c r="CSJ19" s="1050"/>
      <c r="CSK19" s="1050"/>
      <c r="CSL19" s="1050"/>
      <c r="CSM19" s="1050"/>
      <c r="CSN19" s="1050"/>
      <c r="CSO19" s="1050"/>
      <c r="CSP19" s="1050"/>
      <c r="CSQ19" s="1050"/>
      <c r="CSR19" s="1050"/>
      <c r="CSS19" s="1050"/>
      <c r="CST19" s="1050"/>
      <c r="CSU19" s="1050"/>
      <c r="CSV19" s="1050"/>
      <c r="CSW19" s="1050"/>
      <c r="CSX19" s="1050"/>
      <c r="CSY19" s="1050"/>
      <c r="CSZ19" s="1050"/>
      <c r="CTA19" s="1050"/>
      <c r="CTB19" s="1050"/>
      <c r="CTC19" s="1050"/>
      <c r="CTD19" s="1050"/>
      <c r="CTE19" s="1050"/>
      <c r="CTF19" s="1050"/>
      <c r="CTG19" s="1050"/>
      <c r="CTH19" s="1050"/>
      <c r="CTI19" s="1050"/>
      <c r="CTJ19" s="1050"/>
      <c r="CTK19" s="1050"/>
      <c r="CTL19" s="1050"/>
      <c r="CTM19" s="1050"/>
      <c r="CTN19" s="1050"/>
      <c r="CTO19" s="1050"/>
      <c r="CTP19" s="1050"/>
      <c r="CTQ19" s="1050"/>
      <c r="CTR19" s="1050"/>
      <c r="CTS19" s="1050"/>
      <c r="CTT19" s="1050"/>
      <c r="CTU19" s="1050"/>
      <c r="CTV19" s="1050"/>
      <c r="CTW19" s="1050"/>
      <c r="CTX19" s="1050"/>
      <c r="CTY19" s="1050"/>
      <c r="CTZ19" s="1050"/>
      <c r="CUA19" s="1050"/>
      <c r="CUB19" s="1050"/>
      <c r="CUC19" s="1050"/>
      <c r="CUD19" s="1050"/>
      <c r="CUE19" s="1050"/>
      <c r="CUF19" s="1050"/>
      <c r="CUG19" s="1050"/>
      <c r="CUH19" s="1050"/>
      <c r="CUI19" s="1050"/>
      <c r="CUJ19" s="1050"/>
      <c r="CUK19" s="1050"/>
      <c r="CUL19" s="1050"/>
      <c r="CUM19" s="1050"/>
      <c r="CUN19" s="1050"/>
      <c r="CUO19" s="1050"/>
      <c r="CUP19" s="1050"/>
      <c r="CUQ19" s="1050"/>
      <c r="CUR19" s="1050"/>
      <c r="CUS19" s="1050"/>
      <c r="CUT19" s="1050"/>
      <c r="CUU19" s="1050"/>
      <c r="CUV19" s="1050"/>
      <c r="CUW19" s="1050"/>
      <c r="CUX19" s="1050"/>
      <c r="CUY19" s="1050"/>
      <c r="CUZ19" s="1050"/>
      <c r="CVA19" s="1050"/>
      <c r="CVB19" s="1050"/>
      <c r="CVC19" s="1050"/>
      <c r="CVD19" s="1050"/>
      <c r="CVE19" s="1050"/>
      <c r="CVF19" s="1050"/>
      <c r="CVG19" s="1050"/>
      <c r="CVH19" s="1050"/>
      <c r="CVI19" s="1050"/>
      <c r="CVJ19" s="1050"/>
      <c r="CVK19" s="1050"/>
      <c r="CVL19" s="1050"/>
      <c r="CVM19" s="1050"/>
      <c r="CVN19" s="1050"/>
      <c r="CVO19" s="1050"/>
      <c r="CVP19" s="1050"/>
      <c r="CVQ19" s="1050"/>
      <c r="CVR19" s="1050"/>
      <c r="CVS19" s="1050"/>
      <c r="CVT19" s="1050"/>
      <c r="CVU19" s="1050"/>
      <c r="CVV19" s="1050"/>
      <c r="CVW19" s="1050"/>
      <c r="CVX19" s="1050"/>
      <c r="CVY19" s="1050"/>
      <c r="CVZ19" s="1050"/>
      <c r="CWA19" s="1050"/>
      <c r="CWB19" s="1050"/>
      <c r="CWC19" s="1050"/>
      <c r="CWD19" s="1050"/>
      <c r="CWE19" s="1050"/>
      <c r="CWF19" s="1050"/>
      <c r="CWG19" s="1050"/>
      <c r="CWH19" s="1050"/>
      <c r="CWI19" s="1050"/>
      <c r="CWJ19" s="1050"/>
      <c r="CWK19" s="1050"/>
      <c r="CWL19" s="1050"/>
      <c r="CWM19" s="1050"/>
      <c r="CWN19" s="1050"/>
      <c r="CWO19" s="1050"/>
      <c r="CWP19" s="1050"/>
      <c r="CWQ19" s="1050"/>
      <c r="CWR19" s="1050"/>
      <c r="CWS19" s="1050"/>
      <c r="CWT19" s="1050"/>
      <c r="CWU19" s="1050"/>
      <c r="CWV19" s="1050"/>
      <c r="CWW19" s="1050"/>
      <c r="CWX19" s="1050"/>
      <c r="CWY19" s="1050"/>
      <c r="CWZ19" s="1050"/>
      <c r="CXA19" s="1050"/>
      <c r="CXB19" s="1050"/>
      <c r="CXC19" s="1050"/>
      <c r="CXD19" s="1050"/>
      <c r="CXE19" s="1050"/>
      <c r="CXF19" s="1050"/>
      <c r="CXG19" s="1050"/>
      <c r="CXH19" s="1050"/>
      <c r="CXI19" s="1050"/>
      <c r="CXJ19" s="1050"/>
      <c r="CXK19" s="1050"/>
      <c r="CXL19" s="1050"/>
      <c r="CXM19" s="1050"/>
      <c r="CXN19" s="1050"/>
      <c r="CXO19" s="1050"/>
      <c r="CXP19" s="1050"/>
      <c r="CXQ19" s="1050"/>
      <c r="CXR19" s="1050"/>
      <c r="CXS19" s="1050"/>
      <c r="CXT19" s="1050"/>
      <c r="CXU19" s="1050"/>
      <c r="CXV19" s="1050"/>
      <c r="CXW19" s="1050"/>
      <c r="CXX19" s="1050"/>
      <c r="CXY19" s="1050"/>
      <c r="CXZ19" s="1050"/>
      <c r="CYA19" s="1050"/>
      <c r="CYB19" s="1050"/>
      <c r="CYC19" s="1050"/>
      <c r="CYD19" s="1050"/>
      <c r="CYE19" s="1050"/>
      <c r="CYF19" s="1050"/>
      <c r="CYG19" s="1050"/>
      <c r="CYH19" s="1050"/>
      <c r="CYI19" s="1050"/>
      <c r="CYJ19" s="1050"/>
      <c r="CYK19" s="1050"/>
      <c r="CYL19" s="1050"/>
      <c r="CYM19" s="1050"/>
      <c r="CYN19" s="1050"/>
      <c r="CYO19" s="1050"/>
      <c r="CYP19" s="1050"/>
      <c r="CYQ19" s="1050"/>
      <c r="CYR19" s="1050"/>
      <c r="CYS19" s="1050"/>
      <c r="CYT19" s="1050"/>
      <c r="CYU19" s="1050"/>
      <c r="CYV19" s="1050"/>
      <c r="CYW19" s="1050"/>
      <c r="CYX19" s="1050"/>
      <c r="CYY19" s="1050"/>
      <c r="CYZ19" s="1050"/>
      <c r="CZA19" s="1050"/>
      <c r="CZB19" s="1050"/>
      <c r="CZC19" s="1050"/>
      <c r="CZD19" s="1050"/>
      <c r="CZE19" s="1050"/>
      <c r="CZF19" s="1050"/>
      <c r="CZG19" s="1050"/>
      <c r="CZH19" s="1050"/>
      <c r="CZI19" s="1050"/>
      <c r="CZJ19" s="1050"/>
      <c r="CZK19" s="1050"/>
      <c r="CZL19" s="1050"/>
      <c r="CZM19" s="1050"/>
      <c r="CZN19" s="1050"/>
      <c r="CZO19" s="1050"/>
      <c r="CZP19" s="1050"/>
      <c r="CZQ19" s="1050"/>
      <c r="CZR19" s="1050"/>
      <c r="CZS19" s="1050"/>
      <c r="CZT19" s="1050"/>
      <c r="CZU19" s="1050"/>
      <c r="CZV19" s="1050"/>
      <c r="CZW19" s="1050"/>
      <c r="CZX19" s="1050"/>
      <c r="CZY19" s="1050"/>
      <c r="CZZ19" s="1050"/>
      <c r="DAA19" s="1050"/>
      <c r="DAB19" s="1050"/>
      <c r="DAC19" s="1050"/>
      <c r="DAD19" s="1050"/>
      <c r="DAE19" s="1050"/>
      <c r="DAF19" s="1050"/>
      <c r="DAG19" s="1050"/>
      <c r="DAH19" s="1050"/>
      <c r="DAI19" s="1050"/>
      <c r="DAJ19" s="1050"/>
      <c r="DAK19" s="1050"/>
      <c r="DAL19" s="1050"/>
      <c r="DAM19" s="1050"/>
      <c r="DAN19" s="1050"/>
      <c r="DAO19" s="1050"/>
      <c r="DAP19" s="1050"/>
      <c r="DAQ19" s="1050"/>
      <c r="DAR19" s="1050"/>
      <c r="DAS19" s="1050"/>
      <c r="DAT19" s="1050"/>
      <c r="DAU19" s="1050"/>
      <c r="DAV19" s="1050"/>
      <c r="DAW19" s="1050"/>
      <c r="DAX19" s="1050"/>
      <c r="DAY19" s="1050"/>
      <c r="DAZ19" s="1050"/>
      <c r="DBA19" s="1050"/>
      <c r="DBB19" s="1050"/>
      <c r="DBC19" s="1050"/>
      <c r="DBD19" s="1050"/>
      <c r="DBE19" s="1050"/>
      <c r="DBF19" s="1050"/>
      <c r="DBG19" s="1050"/>
      <c r="DBH19" s="1050"/>
      <c r="DBI19" s="1050"/>
      <c r="DBJ19" s="1050"/>
      <c r="DBK19" s="1050"/>
      <c r="DBL19" s="1050"/>
      <c r="DBM19" s="1050"/>
      <c r="DBN19" s="1050"/>
      <c r="DBO19" s="1050"/>
      <c r="DBP19" s="1050"/>
      <c r="DBQ19" s="1050"/>
      <c r="DBR19" s="1050"/>
      <c r="DBS19" s="1050"/>
      <c r="DBT19" s="1050"/>
      <c r="DBU19" s="1050"/>
      <c r="DBV19" s="1050"/>
      <c r="DBW19" s="1050"/>
      <c r="DBX19" s="1050"/>
      <c r="DBY19" s="1050"/>
      <c r="DBZ19" s="1050"/>
      <c r="DCA19" s="1050"/>
      <c r="DCB19" s="1050"/>
      <c r="DCC19" s="1050"/>
      <c r="DCD19" s="1050"/>
      <c r="DCE19" s="1050"/>
      <c r="DCF19" s="1050"/>
      <c r="DCG19" s="1050"/>
      <c r="DCH19" s="1050"/>
      <c r="DCI19" s="1050"/>
      <c r="DCJ19" s="1050"/>
      <c r="DCK19" s="1050"/>
      <c r="DCL19" s="1050"/>
      <c r="DCM19" s="1050"/>
      <c r="DCN19" s="1050"/>
      <c r="DCO19" s="1050"/>
      <c r="DCP19" s="1050"/>
      <c r="DCQ19" s="1050"/>
      <c r="DCR19" s="1050"/>
      <c r="DCS19" s="1050"/>
      <c r="DCT19" s="1050"/>
      <c r="DCU19" s="1050"/>
      <c r="DCV19" s="1050"/>
      <c r="DCW19" s="1050"/>
      <c r="DCX19" s="1050"/>
      <c r="DCY19" s="1050"/>
      <c r="DCZ19" s="1050"/>
      <c r="DDA19" s="1050"/>
      <c r="DDB19" s="1050"/>
      <c r="DDC19" s="1050"/>
      <c r="DDD19" s="1050"/>
      <c r="DDE19" s="1050"/>
      <c r="DDF19" s="1050"/>
      <c r="DDG19" s="1050"/>
      <c r="DDH19" s="1050"/>
      <c r="DDI19" s="1050"/>
      <c r="DDJ19" s="1050"/>
      <c r="DDK19" s="1050"/>
      <c r="DDL19" s="1050"/>
      <c r="DDM19" s="1050"/>
      <c r="DDN19" s="1050"/>
      <c r="DDO19" s="1050"/>
      <c r="DDP19" s="1050"/>
      <c r="DDQ19" s="1050"/>
      <c r="DDR19" s="1050"/>
      <c r="DDS19" s="1050"/>
      <c r="DDT19" s="1050"/>
      <c r="DDU19" s="1050"/>
      <c r="DDV19" s="1050"/>
      <c r="DDW19" s="1050"/>
      <c r="DDX19" s="1050"/>
      <c r="DDY19" s="1050"/>
      <c r="DDZ19" s="1050"/>
      <c r="DEA19" s="1050"/>
      <c r="DEB19" s="1050"/>
      <c r="DEC19" s="1050"/>
      <c r="DED19" s="1050"/>
      <c r="DEE19" s="1050"/>
      <c r="DEF19" s="1050"/>
      <c r="DEG19" s="1050"/>
      <c r="DEH19" s="1050"/>
      <c r="DEI19" s="1050"/>
      <c r="DEJ19" s="1050"/>
      <c r="DEK19" s="1050"/>
      <c r="DEL19" s="1050"/>
      <c r="DEM19" s="1050"/>
      <c r="DEN19" s="1050"/>
      <c r="DEO19" s="1050"/>
      <c r="DEP19" s="1050"/>
      <c r="DEQ19" s="1050"/>
      <c r="DER19" s="1050"/>
      <c r="DES19" s="1050"/>
      <c r="DET19" s="1050"/>
      <c r="DEU19" s="1050"/>
      <c r="DEV19" s="1050"/>
      <c r="DEW19" s="1050"/>
      <c r="DEX19" s="1050"/>
      <c r="DEY19" s="1050"/>
      <c r="DEZ19" s="1050"/>
      <c r="DFA19" s="1050"/>
      <c r="DFB19" s="1050"/>
      <c r="DFC19" s="1050"/>
      <c r="DFD19" s="1050"/>
      <c r="DFE19" s="1050"/>
      <c r="DFF19" s="1050"/>
      <c r="DFG19" s="1050"/>
      <c r="DFH19" s="1050"/>
      <c r="DFI19" s="1050"/>
      <c r="DFJ19" s="1050"/>
      <c r="DFK19" s="1050"/>
      <c r="DFL19" s="1050"/>
      <c r="DFM19" s="1050"/>
      <c r="DFN19" s="1050"/>
      <c r="DFO19" s="1050"/>
      <c r="DFP19" s="1050"/>
      <c r="DFQ19" s="1050"/>
      <c r="DFR19" s="1050"/>
      <c r="DFS19" s="1050"/>
      <c r="DFT19" s="1050"/>
      <c r="DFU19" s="1050"/>
      <c r="DFV19" s="1050"/>
      <c r="DFW19" s="1050"/>
      <c r="DFX19" s="1050"/>
      <c r="DFY19" s="1050"/>
      <c r="DFZ19" s="1050"/>
      <c r="DGA19" s="1050"/>
      <c r="DGB19" s="1050"/>
      <c r="DGC19" s="1050"/>
      <c r="DGD19" s="1050"/>
      <c r="DGE19" s="1050"/>
      <c r="DGF19" s="1050"/>
      <c r="DGG19" s="1050"/>
      <c r="DGH19" s="1050"/>
      <c r="DGI19" s="1050"/>
      <c r="DGJ19" s="1050"/>
      <c r="DGK19" s="1050"/>
      <c r="DGL19" s="1050"/>
      <c r="DGM19" s="1050"/>
      <c r="DGN19" s="1050"/>
      <c r="DGO19" s="1050"/>
      <c r="DGP19" s="1050"/>
      <c r="DGQ19" s="1050"/>
      <c r="DGR19" s="1050"/>
      <c r="DGS19" s="1050"/>
      <c r="DGT19" s="1050"/>
      <c r="DGU19" s="1050"/>
      <c r="DGV19" s="1050"/>
      <c r="DGW19" s="1050"/>
      <c r="DGX19" s="1050"/>
      <c r="DGY19" s="1050"/>
      <c r="DGZ19" s="1050"/>
      <c r="DHA19" s="1050"/>
      <c r="DHB19" s="1050"/>
      <c r="DHC19" s="1050"/>
      <c r="DHD19" s="1050"/>
      <c r="DHE19" s="1050"/>
      <c r="DHF19" s="1050"/>
      <c r="DHG19" s="1050"/>
      <c r="DHH19" s="1050"/>
      <c r="DHI19" s="1050"/>
      <c r="DHJ19" s="1050"/>
      <c r="DHK19" s="1050"/>
      <c r="DHL19" s="1050"/>
      <c r="DHM19" s="1050"/>
      <c r="DHN19" s="1050"/>
      <c r="DHO19" s="1050"/>
      <c r="DHP19" s="1050"/>
      <c r="DHQ19" s="1050"/>
      <c r="DHR19" s="1050"/>
      <c r="DHS19" s="1050"/>
      <c r="DHT19" s="1050"/>
      <c r="DHU19" s="1050"/>
      <c r="DHV19" s="1050"/>
      <c r="DHW19" s="1050"/>
      <c r="DHX19" s="1050"/>
      <c r="DHY19" s="1050"/>
      <c r="DHZ19" s="1050"/>
      <c r="DIA19" s="1050"/>
      <c r="DIB19" s="1050"/>
      <c r="DIC19" s="1050"/>
      <c r="DID19" s="1050"/>
      <c r="DIE19" s="1050"/>
      <c r="DIF19" s="1050"/>
      <c r="DIG19" s="1050"/>
      <c r="DIH19" s="1050"/>
      <c r="DII19" s="1050"/>
      <c r="DIJ19" s="1050"/>
      <c r="DIK19" s="1050"/>
      <c r="DIL19" s="1050"/>
      <c r="DIM19" s="1050"/>
      <c r="DIN19" s="1050"/>
      <c r="DIO19" s="1050"/>
      <c r="DIP19" s="1050"/>
      <c r="DIQ19" s="1050"/>
      <c r="DIR19" s="1050"/>
      <c r="DIS19" s="1050"/>
      <c r="DIT19" s="1050"/>
      <c r="DIU19" s="1050"/>
      <c r="DIV19" s="1050"/>
      <c r="DIW19" s="1050"/>
      <c r="DIX19" s="1050"/>
      <c r="DIY19" s="1050"/>
      <c r="DIZ19" s="1050"/>
      <c r="DJA19" s="1050"/>
      <c r="DJB19" s="1050"/>
      <c r="DJC19" s="1050"/>
      <c r="DJD19" s="1050"/>
      <c r="DJE19" s="1050"/>
      <c r="DJF19" s="1050"/>
      <c r="DJG19" s="1050"/>
      <c r="DJH19" s="1050"/>
      <c r="DJI19" s="1050"/>
      <c r="DJJ19" s="1050"/>
      <c r="DJK19" s="1050"/>
      <c r="DJL19" s="1050"/>
      <c r="DJM19" s="1050"/>
      <c r="DJN19" s="1050"/>
      <c r="DJO19" s="1050"/>
      <c r="DJP19" s="1050"/>
      <c r="DJQ19" s="1050"/>
      <c r="DJR19" s="1050"/>
      <c r="DJS19" s="1050"/>
      <c r="DJT19" s="1050"/>
      <c r="DJU19" s="1050"/>
      <c r="DJV19" s="1050"/>
      <c r="DJW19" s="1050"/>
      <c r="DJX19" s="1050"/>
      <c r="DJY19" s="1050"/>
      <c r="DJZ19" s="1050"/>
      <c r="DKA19" s="1050"/>
      <c r="DKB19" s="1050"/>
      <c r="DKC19" s="1050"/>
      <c r="DKD19" s="1050"/>
      <c r="DKE19" s="1050"/>
      <c r="DKF19" s="1050"/>
      <c r="DKG19" s="1050"/>
      <c r="DKH19" s="1050"/>
      <c r="DKI19" s="1050"/>
      <c r="DKJ19" s="1050"/>
      <c r="DKK19" s="1050"/>
      <c r="DKL19" s="1050"/>
      <c r="DKM19" s="1050"/>
      <c r="DKN19" s="1050"/>
      <c r="DKO19" s="1050"/>
      <c r="DKP19" s="1050"/>
      <c r="DKQ19" s="1050"/>
      <c r="DKR19" s="1050"/>
      <c r="DKS19" s="1050"/>
      <c r="DKT19" s="1050"/>
      <c r="DKU19" s="1050"/>
      <c r="DKV19" s="1050"/>
      <c r="DKW19" s="1050"/>
      <c r="DKX19" s="1050"/>
      <c r="DKY19" s="1050"/>
      <c r="DKZ19" s="1050"/>
      <c r="DLA19" s="1050"/>
      <c r="DLB19" s="1050"/>
      <c r="DLC19" s="1050"/>
      <c r="DLD19" s="1050"/>
      <c r="DLE19" s="1050"/>
      <c r="DLF19" s="1050"/>
      <c r="DLG19" s="1050"/>
      <c r="DLH19" s="1050"/>
      <c r="DLI19" s="1050"/>
      <c r="DLJ19" s="1050"/>
      <c r="DLK19" s="1050"/>
      <c r="DLL19" s="1050"/>
      <c r="DLM19" s="1050"/>
      <c r="DLN19" s="1050"/>
      <c r="DLO19" s="1050"/>
      <c r="DLP19" s="1050"/>
      <c r="DLQ19" s="1050"/>
      <c r="DLR19" s="1050"/>
      <c r="DLS19" s="1050"/>
      <c r="DLT19" s="1050"/>
      <c r="DLU19" s="1050"/>
      <c r="DLV19" s="1050"/>
      <c r="DLW19" s="1050"/>
      <c r="DLX19" s="1050"/>
      <c r="DLY19" s="1050"/>
      <c r="DLZ19" s="1050"/>
      <c r="DMA19" s="1050"/>
      <c r="DMB19" s="1050"/>
      <c r="DMC19" s="1050"/>
      <c r="DMD19" s="1050"/>
      <c r="DME19" s="1050"/>
      <c r="DMF19" s="1050"/>
      <c r="DMG19" s="1050"/>
      <c r="DMH19" s="1050"/>
      <c r="DMI19" s="1050"/>
      <c r="DMJ19" s="1050"/>
      <c r="DMK19" s="1050"/>
      <c r="DML19" s="1050"/>
      <c r="DMM19" s="1050"/>
      <c r="DMN19" s="1050"/>
      <c r="DMO19" s="1050"/>
      <c r="DMP19" s="1050"/>
      <c r="DMQ19" s="1050"/>
      <c r="DMR19" s="1050"/>
      <c r="DMS19" s="1050"/>
      <c r="DMT19" s="1050"/>
      <c r="DMU19" s="1050"/>
      <c r="DMV19" s="1050"/>
      <c r="DMW19" s="1050"/>
      <c r="DMX19" s="1050"/>
      <c r="DMY19" s="1050"/>
      <c r="DMZ19" s="1050"/>
      <c r="DNA19" s="1050"/>
      <c r="DNB19" s="1050"/>
      <c r="DNC19" s="1050"/>
      <c r="DND19" s="1050"/>
      <c r="DNE19" s="1050"/>
      <c r="DNF19" s="1050"/>
      <c r="DNG19" s="1050"/>
      <c r="DNH19" s="1050"/>
      <c r="DNI19" s="1050"/>
      <c r="DNJ19" s="1050"/>
      <c r="DNK19" s="1050"/>
      <c r="DNL19" s="1050"/>
      <c r="DNM19" s="1050"/>
      <c r="DNN19" s="1050"/>
      <c r="DNO19" s="1050"/>
      <c r="DNP19" s="1050"/>
      <c r="DNQ19" s="1050"/>
      <c r="DNR19" s="1050"/>
      <c r="DNS19" s="1050"/>
      <c r="DNT19" s="1050"/>
      <c r="DNU19" s="1050"/>
      <c r="DNV19" s="1050"/>
      <c r="DNW19" s="1050"/>
      <c r="DNX19" s="1050"/>
      <c r="DNY19" s="1050"/>
      <c r="DNZ19" s="1050"/>
      <c r="DOA19" s="1050"/>
      <c r="DOB19" s="1050"/>
      <c r="DOC19" s="1050"/>
      <c r="DOD19" s="1050"/>
      <c r="DOE19" s="1050"/>
      <c r="DOF19" s="1050"/>
      <c r="DOG19" s="1050"/>
      <c r="DOH19" s="1050"/>
      <c r="DOI19" s="1050"/>
      <c r="DOJ19" s="1050"/>
      <c r="DOK19" s="1050"/>
      <c r="DOL19" s="1050"/>
      <c r="DOM19" s="1050"/>
      <c r="DON19" s="1050"/>
      <c r="DOO19" s="1050"/>
      <c r="DOP19" s="1050"/>
      <c r="DOQ19" s="1050"/>
      <c r="DOR19" s="1050"/>
      <c r="DOS19" s="1050"/>
      <c r="DOT19" s="1050"/>
      <c r="DOU19" s="1050"/>
      <c r="DOV19" s="1050"/>
      <c r="DOW19" s="1050"/>
      <c r="DOX19" s="1050"/>
      <c r="DOY19" s="1050"/>
      <c r="DOZ19" s="1050"/>
      <c r="DPA19" s="1050"/>
      <c r="DPB19" s="1050"/>
      <c r="DPC19" s="1050"/>
      <c r="DPD19" s="1050"/>
      <c r="DPE19" s="1050"/>
      <c r="DPF19" s="1050"/>
      <c r="DPG19" s="1050"/>
      <c r="DPH19" s="1050"/>
      <c r="DPI19" s="1050"/>
      <c r="DPJ19" s="1050"/>
      <c r="DPK19" s="1050"/>
      <c r="DPL19" s="1050"/>
      <c r="DPM19" s="1050"/>
      <c r="DPN19" s="1050"/>
      <c r="DPO19" s="1050"/>
      <c r="DPP19" s="1050"/>
      <c r="DPQ19" s="1050"/>
      <c r="DPR19" s="1050"/>
      <c r="DPS19" s="1050"/>
      <c r="DPT19" s="1050"/>
      <c r="DPU19" s="1050"/>
      <c r="DPV19" s="1050"/>
      <c r="DPW19" s="1050"/>
      <c r="DPX19" s="1050"/>
      <c r="DPY19" s="1050"/>
      <c r="DPZ19" s="1050"/>
      <c r="DQA19" s="1050"/>
      <c r="DQB19" s="1050"/>
      <c r="DQC19" s="1050"/>
      <c r="DQD19" s="1050"/>
      <c r="DQE19" s="1050"/>
      <c r="DQF19" s="1050"/>
      <c r="DQG19" s="1050"/>
      <c r="DQH19" s="1050"/>
      <c r="DQI19" s="1050"/>
      <c r="DQJ19" s="1050"/>
      <c r="DQK19" s="1050"/>
      <c r="DQL19" s="1050"/>
      <c r="DQM19" s="1050"/>
      <c r="DQN19" s="1050"/>
      <c r="DQO19" s="1050"/>
      <c r="DQP19" s="1050"/>
      <c r="DQQ19" s="1050"/>
      <c r="DQR19" s="1050"/>
      <c r="DQS19" s="1050"/>
      <c r="DQT19" s="1050"/>
      <c r="DQU19" s="1050"/>
      <c r="DQV19" s="1050"/>
      <c r="DQW19" s="1050"/>
      <c r="DQX19" s="1050"/>
      <c r="DQY19" s="1050"/>
      <c r="DQZ19" s="1050"/>
      <c r="DRA19" s="1050"/>
      <c r="DRB19" s="1050"/>
      <c r="DRC19" s="1050"/>
      <c r="DRD19" s="1050"/>
      <c r="DRE19" s="1050"/>
      <c r="DRF19" s="1050"/>
      <c r="DRG19" s="1050"/>
      <c r="DRH19" s="1050"/>
      <c r="DRI19" s="1050"/>
      <c r="DRJ19" s="1050"/>
      <c r="DRK19" s="1050"/>
      <c r="DRL19" s="1050"/>
      <c r="DRM19" s="1050"/>
      <c r="DRN19" s="1050"/>
      <c r="DRO19" s="1050"/>
      <c r="DRP19" s="1050"/>
      <c r="DRQ19" s="1050"/>
      <c r="DRR19" s="1050"/>
      <c r="DRS19" s="1050"/>
      <c r="DRT19" s="1050"/>
      <c r="DRU19" s="1050"/>
      <c r="DRV19" s="1050"/>
      <c r="DRW19" s="1050"/>
      <c r="DRX19" s="1050"/>
      <c r="DRY19" s="1050"/>
      <c r="DRZ19" s="1050"/>
      <c r="DSA19" s="1050"/>
      <c r="DSB19" s="1050"/>
      <c r="DSC19" s="1050"/>
      <c r="DSD19" s="1050"/>
      <c r="DSE19" s="1050"/>
      <c r="DSF19" s="1050"/>
      <c r="DSG19" s="1050"/>
      <c r="DSH19" s="1050"/>
      <c r="DSI19" s="1050"/>
      <c r="DSJ19" s="1050"/>
      <c r="DSK19" s="1050"/>
      <c r="DSL19" s="1050"/>
      <c r="DSM19" s="1050"/>
      <c r="DSN19" s="1050"/>
      <c r="DSO19" s="1050"/>
      <c r="DSP19" s="1050"/>
      <c r="DSQ19" s="1050"/>
      <c r="DSR19" s="1050"/>
      <c r="DSS19" s="1050"/>
      <c r="DST19" s="1050"/>
      <c r="DSU19" s="1050"/>
      <c r="DSV19" s="1050"/>
      <c r="DSW19" s="1050"/>
      <c r="DSX19" s="1050"/>
      <c r="DSY19" s="1050"/>
      <c r="DSZ19" s="1050"/>
      <c r="DTA19" s="1050"/>
      <c r="DTB19" s="1050"/>
      <c r="DTC19" s="1050"/>
      <c r="DTD19" s="1050"/>
      <c r="DTE19" s="1050"/>
      <c r="DTF19" s="1050"/>
      <c r="DTG19" s="1050"/>
      <c r="DTH19" s="1050"/>
      <c r="DTI19" s="1050"/>
      <c r="DTJ19" s="1050"/>
      <c r="DTK19" s="1050"/>
      <c r="DTL19" s="1050"/>
      <c r="DTM19" s="1050"/>
      <c r="DTN19" s="1050"/>
      <c r="DTO19" s="1050"/>
      <c r="DTP19" s="1050"/>
      <c r="DTQ19" s="1050"/>
      <c r="DTR19" s="1050"/>
      <c r="DTS19" s="1050"/>
      <c r="DTT19" s="1050"/>
      <c r="DTU19" s="1050"/>
      <c r="DTV19" s="1050"/>
      <c r="DTW19" s="1050"/>
      <c r="DTX19" s="1050"/>
      <c r="DTY19" s="1050"/>
      <c r="DTZ19" s="1050"/>
      <c r="DUA19" s="1050"/>
      <c r="DUB19" s="1050"/>
      <c r="DUC19" s="1050"/>
      <c r="DUD19" s="1050"/>
      <c r="DUE19" s="1050"/>
      <c r="DUF19" s="1050"/>
      <c r="DUG19" s="1050"/>
      <c r="DUH19" s="1050"/>
      <c r="DUI19" s="1050"/>
      <c r="DUJ19" s="1050"/>
      <c r="DUK19" s="1050"/>
      <c r="DUL19" s="1050"/>
      <c r="DUM19" s="1050"/>
      <c r="DUN19" s="1050"/>
      <c r="DUO19" s="1050"/>
      <c r="DUP19" s="1050"/>
      <c r="DUQ19" s="1050"/>
      <c r="DUR19" s="1050"/>
      <c r="DUS19" s="1050"/>
      <c r="DUT19" s="1050"/>
      <c r="DUU19" s="1050"/>
      <c r="DUV19" s="1050"/>
      <c r="DUW19" s="1050"/>
      <c r="DUX19" s="1050"/>
      <c r="DUY19" s="1050"/>
      <c r="DUZ19" s="1050"/>
      <c r="DVA19" s="1050"/>
      <c r="DVB19" s="1050"/>
      <c r="DVC19" s="1050"/>
      <c r="DVD19" s="1050"/>
      <c r="DVE19" s="1050"/>
      <c r="DVF19" s="1050"/>
      <c r="DVG19" s="1050"/>
      <c r="DVH19" s="1050"/>
      <c r="DVI19" s="1050"/>
      <c r="DVJ19" s="1050"/>
      <c r="DVK19" s="1050"/>
      <c r="DVL19" s="1050"/>
      <c r="DVM19" s="1050"/>
      <c r="DVN19" s="1050"/>
      <c r="DVO19" s="1050"/>
      <c r="DVP19" s="1050"/>
      <c r="DVQ19" s="1050"/>
      <c r="DVR19" s="1050"/>
      <c r="DVS19" s="1050"/>
      <c r="DVT19" s="1050"/>
      <c r="DVU19" s="1050"/>
      <c r="DVV19" s="1050"/>
      <c r="DVW19" s="1050"/>
      <c r="DVX19" s="1050"/>
      <c r="DVY19" s="1050"/>
      <c r="DVZ19" s="1050"/>
      <c r="DWA19" s="1050"/>
      <c r="DWB19" s="1050"/>
      <c r="DWC19" s="1050"/>
      <c r="DWD19" s="1050"/>
      <c r="DWE19" s="1050"/>
      <c r="DWF19" s="1050"/>
      <c r="DWG19" s="1050"/>
      <c r="DWH19" s="1050"/>
      <c r="DWI19" s="1050"/>
      <c r="DWJ19" s="1050"/>
      <c r="DWK19" s="1050"/>
      <c r="DWL19" s="1050"/>
      <c r="DWM19" s="1050"/>
      <c r="DWN19" s="1050"/>
      <c r="DWO19" s="1050"/>
      <c r="DWP19" s="1050"/>
      <c r="DWQ19" s="1050"/>
      <c r="DWR19" s="1050"/>
      <c r="DWS19" s="1050"/>
      <c r="DWT19" s="1050"/>
      <c r="DWU19" s="1050"/>
      <c r="DWV19" s="1050"/>
      <c r="DWW19" s="1050"/>
      <c r="DWX19" s="1050"/>
      <c r="DWY19" s="1050"/>
      <c r="DWZ19" s="1050"/>
      <c r="DXA19" s="1050"/>
      <c r="DXB19" s="1050"/>
      <c r="DXC19" s="1050"/>
      <c r="DXD19" s="1050"/>
      <c r="DXE19" s="1050"/>
      <c r="DXF19" s="1050"/>
      <c r="DXG19" s="1050"/>
      <c r="DXH19" s="1050"/>
      <c r="DXI19" s="1050"/>
      <c r="DXJ19" s="1050"/>
      <c r="DXK19" s="1050"/>
      <c r="DXL19" s="1050"/>
      <c r="DXM19" s="1050"/>
      <c r="DXN19" s="1050"/>
      <c r="DXO19" s="1050"/>
      <c r="DXP19" s="1050"/>
      <c r="DXQ19" s="1050"/>
      <c r="DXR19" s="1050"/>
      <c r="DXS19" s="1050"/>
      <c r="DXT19" s="1050"/>
      <c r="DXU19" s="1050"/>
      <c r="DXV19" s="1050"/>
      <c r="DXW19" s="1050"/>
      <c r="DXX19" s="1050"/>
      <c r="DXY19" s="1050"/>
      <c r="DXZ19" s="1050"/>
      <c r="DYA19" s="1050"/>
      <c r="DYB19" s="1050"/>
      <c r="DYC19" s="1050"/>
      <c r="DYD19" s="1050"/>
      <c r="DYE19" s="1050"/>
      <c r="DYF19" s="1050"/>
      <c r="DYG19" s="1050"/>
      <c r="DYH19" s="1050"/>
      <c r="DYI19" s="1050"/>
      <c r="DYJ19" s="1050"/>
      <c r="DYK19" s="1050"/>
      <c r="DYL19" s="1050"/>
      <c r="DYM19" s="1050"/>
      <c r="DYN19" s="1050"/>
      <c r="DYO19" s="1050"/>
      <c r="DYP19" s="1050"/>
      <c r="DYQ19" s="1050"/>
      <c r="DYR19" s="1050"/>
      <c r="DYS19" s="1050"/>
      <c r="DYT19" s="1050"/>
      <c r="DYU19" s="1050"/>
      <c r="DYV19" s="1050"/>
      <c r="DYW19" s="1050"/>
      <c r="DYX19" s="1050"/>
      <c r="DYY19" s="1050"/>
      <c r="DYZ19" s="1050"/>
      <c r="DZA19" s="1050"/>
      <c r="DZB19" s="1050"/>
      <c r="DZC19" s="1050"/>
      <c r="DZD19" s="1050"/>
      <c r="DZE19" s="1050"/>
      <c r="DZF19" s="1050"/>
      <c r="DZG19" s="1050"/>
      <c r="DZH19" s="1050"/>
      <c r="DZI19" s="1050"/>
      <c r="DZJ19" s="1050"/>
      <c r="DZK19" s="1050"/>
      <c r="DZL19" s="1050"/>
      <c r="DZM19" s="1050"/>
      <c r="DZN19" s="1050"/>
      <c r="DZO19" s="1050"/>
      <c r="DZP19" s="1050"/>
      <c r="DZQ19" s="1050"/>
      <c r="DZR19" s="1050"/>
      <c r="DZS19" s="1050"/>
      <c r="DZT19" s="1050"/>
      <c r="DZU19" s="1050"/>
      <c r="DZV19" s="1050"/>
      <c r="DZW19" s="1050"/>
      <c r="DZX19" s="1050"/>
      <c r="DZY19" s="1050"/>
      <c r="DZZ19" s="1050"/>
      <c r="EAA19" s="1050"/>
      <c r="EAB19" s="1050"/>
      <c r="EAC19" s="1050"/>
      <c r="EAD19" s="1050"/>
      <c r="EAE19" s="1050"/>
      <c r="EAF19" s="1050"/>
      <c r="EAG19" s="1050"/>
      <c r="EAH19" s="1050"/>
      <c r="EAI19" s="1050"/>
      <c r="EAJ19" s="1050"/>
      <c r="EAK19" s="1050"/>
      <c r="EAL19" s="1050"/>
      <c r="EAM19" s="1050"/>
      <c r="EAN19" s="1050"/>
      <c r="EAO19" s="1050"/>
      <c r="EAP19" s="1050"/>
      <c r="EAQ19" s="1050"/>
      <c r="EAR19" s="1050"/>
      <c r="EAS19" s="1050"/>
      <c r="EAT19" s="1050"/>
      <c r="EAU19" s="1050"/>
      <c r="EAV19" s="1050"/>
      <c r="EAW19" s="1050"/>
      <c r="EAX19" s="1050"/>
      <c r="EAY19" s="1050"/>
      <c r="EAZ19" s="1050"/>
      <c r="EBA19" s="1050"/>
      <c r="EBB19" s="1050"/>
      <c r="EBC19" s="1050"/>
      <c r="EBD19" s="1050"/>
      <c r="EBE19" s="1050"/>
      <c r="EBF19" s="1050"/>
      <c r="EBG19" s="1050"/>
      <c r="EBH19" s="1050"/>
      <c r="EBI19" s="1050"/>
      <c r="EBJ19" s="1050"/>
      <c r="EBK19" s="1050"/>
      <c r="EBL19" s="1050"/>
      <c r="EBM19" s="1050"/>
      <c r="EBN19" s="1050"/>
      <c r="EBO19" s="1050"/>
      <c r="EBP19" s="1050"/>
      <c r="EBQ19" s="1050"/>
      <c r="EBR19" s="1050"/>
      <c r="EBS19" s="1050"/>
      <c r="EBT19" s="1050"/>
      <c r="EBU19" s="1050"/>
      <c r="EBV19" s="1050"/>
      <c r="EBW19" s="1050"/>
      <c r="EBX19" s="1050"/>
      <c r="EBY19" s="1050"/>
      <c r="EBZ19" s="1050"/>
      <c r="ECA19" s="1050"/>
      <c r="ECB19" s="1050"/>
      <c r="ECC19" s="1050"/>
      <c r="ECD19" s="1050"/>
      <c r="ECE19" s="1050"/>
      <c r="ECF19" s="1050"/>
      <c r="ECG19" s="1050"/>
      <c r="ECH19" s="1050"/>
      <c r="ECI19" s="1050"/>
      <c r="ECJ19" s="1050"/>
      <c r="ECK19" s="1050"/>
      <c r="ECL19" s="1050"/>
      <c r="ECM19" s="1050"/>
      <c r="ECN19" s="1050"/>
      <c r="ECO19" s="1050"/>
      <c r="ECP19" s="1050"/>
      <c r="ECQ19" s="1050"/>
      <c r="ECR19" s="1050"/>
      <c r="ECS19" s="1050"/>
      <c r="ECT19" s="1050"/>
      <c r="ECU19" s="1050"/>
      <c r="ECV19" s="1050"/>
      <c r="ECW19" s="1050"/>
      <c r="ECX19" s="1050"/>
      <c r="ECY19" s="1050"/>
      <c r="ECZ19" s="1050"/>
      <c r="EDA19" s="1050"/>
      <c r="EDB19" s="1050"/>
      <c r="EDC19" s="1050"/>
      <c r="EDD19" s="1050"/>
      <c r="EDE19" s="1050"/>
      <c r="EDF19" s="1050"/>
      <c r="EDG19" s="1050"/>
      <c r="EDH19" s="1050"/>
      <c r="EDI19" s="1050"/>
      <c r="EDJ19" s="1050"/>
      <c r="EDK19" s="1050"/>
      <c r="EDL19" s="1050"/>
      <c r="EDM19" s="1050"/>
      <c r="EDN19" s="1050"/>
      <c r="EDO19" s="1050"/>
      <c r="EDP19" s="1050"/>
      <c r="EDQ19" s="1050"/>
      <c r="EDR19" s="1050"/>
      <c r="EDS19" s="1050"/>
      <c r="EDT19" s="1050"/>
      <c r="EDU19" s="1050"/>
      <c r="EDV19" s="1050"/>
      <c r="EDW19" s="1050"/>
      <c r="EDX19" s="1050"/>
      <c r="EDY19" s="1050"/>
      <c r="EDZ19" s="1050"/>
      <c r="EEA19" s="1050"/>
      <c r="EEB19" s="1050"/>
      <c r="EEC19" s="1050"/>
      <c r="EED19" s="1050"/>
      <c r="EEE19" s="1050"/>
      <c r="EEF19" s="1050"/>
      <c r="EEG19" s="1050"/>
      <c r="EEH19" s="1050"/>
      <c r="EEI19" s="1050"/>
      <c r="EEJ19" s="1050"/>
      <c r="EEK19" s="1050"/>
      <c r="EEL19" s="1050"/>
      <c r="EEM19" s="1050"/>
      <c r="EEN19" s="1050"/>
      <c r="EEO19" s="1050"/>
      <c r="EEP19" s="1050"/>
      <c r="EEQ19" s="1050"/>
      <c r="EER19" s="1050"/>
      <c r="EES19" s="1050"/>
      <c r="EET19" s="1050"/>
      <c r="EEU19" s="1050"/>
      <c r="EEV19" s="1050"/>
      <c r="EEW19" s="1050"/>
      <c r="EEX19" s="1050"/>
      <c r="EEY19" s="1050"/>
      <c r="EEZ19" s="1050"/>
      <c r="EFA19" s="1050"/>
      <c r="EFB19" s="1050"/>
      <c r="EFC19" s="1050"/>
      <c r="EFD19" s="1050"/>
      <c r="EFE19" s="1050"/>
      <c r="EFF19" s="1050"/>
      <c r="EFG19" s="1050"/>
      <c r="EFH19" s="1050"/>
      <c r="EFI19" s="1050"/>
      <c r="EFJ19" s="1050"/>
      <c r="EFK19" s="1050"/>
      <c r="EFL19" s="1050"/>
      <c r="EFM19" s="1050"/>
      <c r="EFN19" s="1050"/>
      <c r="EFO19" s="1050"/>
      <c r="EFP19" s="1050"/>
      <c r="EFQ19" s="1050"/>
      <c r="EFR19" s="1050"/>
      <c r="EFS19" s="1050"/>
      <c r="EFT19" s="1050"/>
      <c r="EFU19" s="1050"/>
      <c r="EFV19" s="1050"/>
      <c r="EFW19" s="1050"/>
      <c r="EFX19" s="1050"/>
      <c r="EFY19" s="1050"/>
      <c r="EFZ19" s="1050"/>
      <c r="EGA19" s="1050"/>
      <c r="EGB19" s="1050"/>
      <c r="EGC19" s="1050"/>
      <c r="EGD19" s="1050"/>
      <c r="EGE19" s="1050"/>
      <c r="EGF19" s="1050"/>
      <c r="EGG19" s="1050"/>
      <c r="EGH19" s="1050"/>
      <c r="EGI19" s="1050"/>
      <c r="EGJ19" s="1050"/>
      <c r="EGK19" s="1050"/>
      <c r="EGL19" s="1050"/>
      <c r="EGM19" s="1050"/>
      <c r="EGN19" s="1050"/>
      <c r="EGO19" s="1050"/>
      <c r="EGP19" s="1050"/>
      <c r="EGQ19" s="1050"/>
      <c r="EGR19" s="1050"/>
      <c r="EGS19" s="1050"/>
      <c r="EGT19" s="1050"/>
      <c r="EGU19" s="1050"/>
      <c r="EGV19" s="1050"/>
      <c r="EGW19" s="1050"/>
      <c r="EGX19" s="1050"/>
      <c r="EGY19" s="1050"/>
      <c r="EGZ19" s="1050"/>
      <c r="EHA19" s="1050"/>
      <c r="EHB19" s="1050"/>
      <c r="EHC19" s="1050"/>
      <c r="EHD19" s="1050"/>
      <c r="EHE19" s="1050"/>
      <c r="EHF19" s="1050"/>
      <c r="EHG19" s="1050"/>
      <c r="EHH19" s="1050"/>
      <c r="EHI19" s="1050"/>
      <c r="EHJ19" s="1050"/>
      <c r="EHK19" s="1050"/>
      <c r="EHL19" s="1050"/>
      <c r="EHM19" s="1050"/>
      <c r="EHN19" s="1050"/>
      <c r="EHO19" s="1050"/>
      <c r="EHP19" s="1050"/>
      <c r="EHQ19" s="1050"/>
      <c r="EHR19" s="1050"/>
      <c r="EHS19" s="1050"/>
      <c r="EHT19" s="1050"/>
      <c r="EHU19" s="1050"/>
      <c r="EHV19" s="1050"/>
      <c r="EHW19" s="1050"/>
      <c r="EHX19" s="1050"/>
      <c r="EHY19" s="1050"/>
      <c r="EHZ19" s="1050"/>
      <c r="EIA19" s="1050"/>
      <c r="EIB19" s="1050"/>
      <c r="EIC19" s="1050"/>
      <c r="EID19" s="1050"/>
      <c r="EIE19" s="1050"/>
      <c r="EIF19" s="1050"/>
      <c r="EIG19" s="1050"/>
      <c r="EIH19" s="1050"/>
      <c r="EII19" s="1050"/>
      <c r="EIJ19" s="1050"/>
      <c r="EIK19" s="1050"/>
      <c r="EIL19" s="1050"/>
      <c r="EIM19" s="1050"/>
      <c r="EIN19" s="1050"/>
      <c r="EIO19" s="1050"/>
      <c r="EIP19" s="1050"/>
      <c r="EIQ19" s="1050"/>
      <c r="EIR19" s="1050"/>
      <c r="EIS19" s="1050"/>
      <c r="EIT19" s="1050"/>
      <c r="EIU19" s="1050"/>
      <c r="EIV19" s="1050"/>
      <c r="EIW19" s="1050"/>
      <c r="EIX19" s="1050"/>
      <c r="EIY19" s="1050"/>
      <c r="EIZ19" s="1050"/>
      <c r="EJA19" s="1050"/>
      <c r="EJB19" s="1050"/>
      <c r="EJC19" s="1050"/>
      <c r="EJD19" s="1050"/>
      <c r="EJE19" s="1050"/>
      <c r="EJF19" s="1050"/>
      <c r="EJG19" s="1050"/>
      <c r="EJH19" s="1050"/>
      <c r="EJI19" s="1050"/>
      <c r="EJJ19" s="1050"/>
      <c r="EJK19" s="1050"/>
      <c r="EJL19" s="1050"/>
      <c r="EJM19" s="1050"/>
      <c r="EJN19" s="1050"/>
      <c r="EJO19" s="1050"/>
      <c r="EJP19" s="1050"/>
      <c r="EJQ19" s="1050"/>
      <c r="EJR19" s="1050"/>
      <c r="EJS19" s="1050"/>
      <c r="EJT19" s="1050"/>
      <c r="EJU19" s="1050"/>
      <c r="EJV19" s="1050"/>
      <c r="EJW19" s="1050"/>
      <c r="EJX19" s="1050"/>
      <c r="EJY19" s="1050"/>
      <c r="EJZ19" s="1050"/>
      <c r="EKA19" s="1050"/>
      <c r="EKB19" s="1050"/>
      <c r="EKC19" s="1050"/>
      <c r="EKD19" s="1050"/>
      <c r="EKE19" s="1050"/>
      <c r="EKF19" s="1050"/>
      <c r="EKG19" s="1050"/>
      <c r="EKH19" s="1050"/>
      <c r="EKI19" s="1050"/>
      <c r="EKJ19" s="1050"/>
      <c r="EKK19" s="1050"/>
      <c r="EKL19" s="1050"/>
      <c r="EKM19" s="1050"/>
      <c r="EKN19" s="1050"/>
      <c r="EKO19" s="1050"/>
      <c r="EKP19" s="1050"/>
      <c r="EKQ19" s="1050"/>
      <c r="EKR19" s="1050"/>
      <c r="EKS19" s="1050"/>
      <c r="EKT19" s="1050"/>
      <c r="EKU19" s="1050"/>
      <c r="EKV19" s="1050"/>
      <c r="EKW19" s="1050"/>
      <c r="EKX19" s="1050"/>
      <c r="EKY19" s="1050"/>
      <c r="EKZ19" s="1050"/>
      <c r="ELA19" s="1050"/>
      <c r="ELB19" s="1050"/>
      <c r="ELC19" s="1050"/>
      <c r="ELD19" s="1050"/>
      <c r="ELE19" s="1050"/>
      <c r="ELF19" s="1050"/>
      <c r="ELG19" s="1050"/>
      <c r="ELH19" s="1050"/>
      <c r="ELI19" s="1050"/>
      <c r="ELJ19" s="1050"/>
      <c r="ELK19" s="1050"/>
      <c r="ELL19" s="1050"/>
      <c r="ELM19" s="1050"/>
      <c r="ELN19" s="1050"/>
      <c r="ELO19" s="1050"/>
      <c r="ELP19" s="1050"/>
      <c r="ELQ19" s="1050"/>
      <c r="ELR19" s="1050"/>
      <c r="ELS19" s="1050"/>
      <c r="ELT19" s="1050"/>
      <c r="ELU19" s="1050"/>
      <c r="ELV19" s="1050"/>
      <c r="ELW19" s="1050"/>
      <c r="ELX19" s="1050"/>
      <c r="ELY19" s="1050"/>
      <c r="ELZ19" s="1050"/>
      <c r="EMA19" s="1050"/>
      <c r="EMB19" s="1050"/>
      <c r="EMC19" s="1050"/>
      <c r="EMD19" s="1050"/>
      <c r="EME19" s="1050"/>
      <c r="EMF19" s="1050"/>
      <c r="EMG19" s="1050"/>
      <c r="EMH19" s="1050"/>
      <c r="EMI19" s="1050"/>
      <c r="EMJ19" s="1050"/>
      <c r="EMK19" s="1050"/>
      <c r="EML19" s="1050"/>
      <c r="EMM19" s="1050"/>
      <c r="EMN19" s="1050"/>
      <c r="EMO19" s="1050"/>
      <c r="EMP19" s="1050"/>
      <c r="EMQ19" s="1050"/>
      <c r="EMR19" s="1050"/>
      <c r="EMS19" s="1050"/>
      <c r="EMT19" s="1050"/>
      <c r="EMU19" s="1050"/>
      <c r="EMV19" s="1050"/>
      <c r="EMW19" s="1050"/>
      <c r="EMX19" s="1050"/>
      <c r="EMY19" s="1050"/>
      <c r="EMZ19" s="1050"/>
      <c r="ENA19" s="1050"/>
      <c r="ENB19" s="1050"/>
      <c r="ENC19" s="1050"/>
      <c r="END19" s="1050"/>
      <c r="ENE19" s="1050"/>
      <c r="ENF19" s="1050"/>
      <c r="ENG19" s="1050"/>
      <c r="ENH19" s="1050"/>
      <c r="ENI19" s="1050"/>
      <c r="ENJ19" s="1050"/>
      <c r="ENK19" s="1050"/>
      <c r="ENL19" s="1050"/>
      <c r="ENM19" s="1050"/>
      <c r="ENN19" s="1050"/>
      <c r="ENO19" s="1050"/>
      <c r="ENP19" s="1050"/>
      <c r="ENQ19" s="1050"/>
      <c r="ENR19" s="1050"/>
      <c r="ENS19" s="1050"/>
      <c r="ENT19" s="1050"/>
      <c r="ENU19" s="1050"/>
      <c r="ENV19" s="1050"/>
      <c r="ENW19" s="1050"/>
      <c r="ENX19" s="1050"/>
      <c r="ENY19" s="1050"/>
      <c r="ENZ19" s="1050"/>
      <c r="EOA19" s="1050"/>
      <c r="EOB19" s="1050"/>
      <c r="EOC19" s="1050"/>
      <c r="EOD19" s="1050"/>
      <c r="EOE19" s="1050"/>
      <c r="EOF19" s="1050"/>
      <c r="EOG19" s="1050"/>
      <c r="EOH19" s="1050"/>
      <c r="EOI19" s="1050"/>
      <c r="EOJ19" s="1050"/>
      <c r="EOK19" s="1050"/>
      <c r="EOL19" s="1050"/>
      <c r="EOM19" s="1050"/>
      <c r="EON19" s="1050"/>
      <c r="EOO19" s="1050"/>
      <c r="EOP19" s="1050"/>
      <c r="EOQ19" s="1050"/>
      <c r="EOR19" s="1050"/>
      <c r="EOS19" s="1050"/>
      <c r="EOT19" s="1050"/>
      <c r="EOU19" s="1050"/>
      <c r="EOV19" s="1050"/>
      <c r="EOW19" s="1050"/>
      <c r="EOX19" s="1050"/>
      <c r="EOY19" s="1050"/>
      <c r="EOZ19" s="1050"/>
      <c r="EPA19" s="1050"/>
      <c r="EPB19" s="1050"/>
      <c r="EPC19" s="1050"/>
      <c r="EPD19" s="1050"/>
      <c r="EPE19" s="1050"/>
      <c r="EPF19" s="1050"/>
      <c r="EPG19" s="1050"/>
      <c r="EPH19" s="1050"/>
      <c r="EPI19" s="1050"/>
      <c r="EPJ19" s="1050"/>
      <c r="EPK19" s="1050"/>
      <c r="EPL19" s="1050"/>
      <c r="EPM19" s="1050"/>
      <c r="EPN19" s="1050"/>
      <c r="EPO19" s="1050"/>
      <c r="EPP19" s="1050"/>
      <c r="EPQ19" s="1050"/>
      <c r="EPR19" s="1050"/>
      <c r="EPS19" s="1050"/>
      <c r="EPT19" s="1050"/>
      <c r="EPU19" s="1050"/>
      <c r="EPV19" s="1050"/>
      <c r="EPW19" s="1050"/>
      <c r="EPX19" s="1050"/>
      <c r="EPY19" s="1050"/>
      <c r="EPZ19" s="1050"/>
      <c r="EQA19" s="1050"/>
      <c r="EQB19" s="1050"/>
      <c r="EQC19" s="1050"/>
      <c r="EQD19" s="1050"/>
      <c r="EQE19" s="1050"/>
      <c r="EQF19" s="1050"/>
      <c r="EQG19" s="1050"/>
      <c r="EQH19" s="1050"/>
      <c r="EQI19" s="1050"/>
      <c r="EQJ19" s="1050"/>
      <c r="EQK19" s="1050"/>
      <c r="EQL19" s="1050"/>
      <c r="EQM19" s="1050"/>
      <c r="EQN19" s="1050"/>
      <c r="EQO19" s="1050"/>
      <c r="EQP19" s="1050"/>
      <c r="EQQ19" s="1050"/>
      <c r="EQR19" s="1050"/>
      <c r="EQS19" s="1050"/>
      <c r="EQT19" s="1050"/>
      <c r="EQU19" s="1050"/>
      <c r="EQV19" s="1050"/>
      <c r="EQW19" s="1050"/>
      <c r="EQX19" s="1050"/>
      <c r="EQY19" s="1050"/>
      <c r="EQZ19" s="1050"/>
      <c r="ERA19" s="1050"/>
      <c r="ERB19" s="1050"/>
      <c r="ERC19" s="1050"/>
      <c r="ERD19" s="1050"/>
      <c r="ERE19" s="1050"/>
      <c r="ERF19" s="1050"/>
      <c r="ERG19" s="1050"/>
      <c r="ERH19" s="1050"/>
      <c r="ERI19" s="1050"/>
      <c r="ERJ19" s="1050"/>
      <c r="ERK19" s="1050"/>
      <c r="ERL19" s="1050"/>
      <c r="ERM19" s="1050"/>
      <c r="ERN19" s="1050"/>
      <c r="ERO19" s="1050"/>
      <c r="ERP19" s="1050"/>
      <c r="ERQ19" s="1050"/>
      <c r="ERR19" s="1050"/>
      <c r="ERS19" s="1050"/>
      <c r="ERT19" s="1050"/>
      <c r="ERU19" s="1050"/>
      <c r="ERV19" s="1050"/>
      <c r="ERW19" s="1050"/>
      <c r="ERX19" s="1050"/>
      <c r="ERY19" s="1050"/>
      <c r="ERZ19" s="1050"/>
      <c r="ESA19" s="1050"/>
      <c r="ESB19" s="1050"/>
      <c r="ESC19" s="1050"/>
      <c r="ESD19" s="1050"/>
      <c r="ESE19" s="1050"/>
      <c r="ESF19" s="1050"/>
      <c r="ESG19" s="1050"/>
      <c r="ESH19" s="1050"/>
      <c r="ESI19" s="1050"/>
      <c r="ESJ19" s="1050"/>
      <c r="ESK19" s="1050"/>
      <c r="ESL19" s="1050"/>
      <c r="ESM19" s="1050"/>
      <c r="ESN19" s="1050"/>
      <c r="ESO19" s="1050"/>
      <c r="ESP19" s="1050"/>
      <c r="ESQ19" s="1050"/>
      <c r="ESR19" s="1050"/>
      <c r="ESS19" s="1050"/>
      <c r="EST19" s="1050"/>
      <c r="ESU19" s="1050"/>
      <c r="ESV19" s="1050"/>
      <c r="ESW19" s="1050"/>
      <c r="ESX19" s="1050"/>
      <c r="ESY19" s="1050"/>
      <c r="ESZ19" s="1050"/>
      <c r="ETA19" s="1050"/>
      <c r="ETB19" s="1050"/>
      <c r="ETC19" s="1050"/>
      <c r="ETD19" s="1050"/>
      <c r="ETE19" s="1050"/>
      <c r="ETF19" s="1050"/>
      <c r="ETG19" s="1050"/>
      <c r="ETH19" s="1050"/>
      <c r="ETI19" s="1050"/>
      <c r="ETJ19" s="1050"/>
      <c r="ETK19" s="1050"/>
      <c r="ETL19" s="1050"/>
      <c r="ETM19" s="1050"/>
      <c r="ETN19" s="1050"/>
      <c r="ETO19" s="1050"/>
      <c r="ETP19" s="1050"/>
      <c r="ETQ19" s="1050"/>
      <c r="ETR19" s="1050"/>
      <c r="ETS19" s="1050"/>
      <c r="ETT19" s="1050"/>
      <c r="ETU19" s="1050"/>
      <c r="ETV19" s="1050"/>
      <c r="ETW19" s="1050"/>
      <c r="ETX19" s="1050"/>
      <c r="ETY19" s="1050"/>
      <c r="ETZ19" s="1050"/>
      <c r="EUA19" s="1050"/>
      <c r="EUB19" s="1050"/>
      <c r="EUC19" s="1050"/>
      <c r="EUD19" s="1050"/>
      <c r="EUE19" s="1050"/>
      <c r="EUF19" s="1050"/>
      <c r="EUG19" s="1050"/>
      <c r="EUH19" s="1050"/>
      <c r="EUI19" s="1050"/>
      <c r="EUJ19" s="1050"/>
      <c r="EUK19" s="1050"/>
      <c r="EUL19" s="1050"/>
      <c r="EUM19" s="1050"/>
      <c r="EUN19" s="1050"/>
      <c r="EUO19" s="1050"/>
      <c r="EUP19" s="1050"/>
      <c r="EUQ19" s="1050"/>
      <c r="EUR19" s="1050"/>
      <c r="EUS19" s="1050"/>
      <c r="EUT19" s="1050"/>
      <c r="EUU19" s="1050"/>
      <c r="EUV19" s="1050"/>
      <c r="EUW19" s="1050"/>
      <c r="EUX19" s="1050"/>
      <c r="EUY19" s="1050"/>
      <c r="EUZ19" s="1050"/>
      <c r="EVA19" s="1050"/>
      <c r="EVB19" s="1050"/>
      <c r="EVC19" s="1050"/>
      <c r="EVD19" s="1050"/>
      <c r="EVE19" s="1050"/>
      <c r="EVF19" s="1050"/>
      <c r="EVG19" s="1050"/>
      <c r="EVH19" s="1050"/>
      <c r="EVI19" s="1050"/>
      <c r="EVJ19" s="1050"/>
      <c r="EVK19" s="1050"/>
      <c r="EVL19" s="1050"/>
      <c r="EVM19" s="1050"/>
      <c r="EVN19" s="1050"/>
      <c r="EVO19" s="1050"/>
      <c r="EVP19" s="1050"/>
      <c r="EVQ19" s="1050"/>
      <c r="EVR19" s="1050"/>
      <c r="EVS19" s="1050"/>
      <c r="EVT19" s="1050"/>
      <c r="EVU19" s="1050"/>
      <c r="EVV19" s="1050"/>
      <c r="EVW19" s="1050"/>
      <c r="EVX19" s="1050"/>
      <c r="EVY19" s="1050"/>
      <c r="EVZ19" s="1050"/>
      <c r="EWA19" s="1050"/>
      <c r="EWB19" s="1050"/>
      <c r="EWC19" s="1050"/>
      <c r="EWD19" s="1050"/>
      <c r="EWE19" s="1050"/>
      <c r="EWF19" s="1050"/>
      <c r="EWG19" s="1050"/>
      <c r="EWH19" s="1050"/>
      <c r="EWI19" s="1050"/>
      <c r="EWJ19" s="1050"/>
      <c r="EWK19" s="1050"/>
      <c r="EWL19" s="1050"/>
      <c r="EWM19" s="1050"/>
      <c r="EWN19" s="1050"/>
      <c r="EWO19" s="1050"/>
      <c r="EWP19" s="1050"/>
      <c r="EWQ19" s="1050"/>
      <c r="EWR19" s="1050"/>
      <c r="EWS19" s="1050"/>
      <c r="EWT19" s="1050"/>
      <c r="EWU19" s="1050"/>
      <c r="EWV19" s="1050"/>
      <c r="EWW19" s="1050"/>
      <c r="EWX19" s="1050"/>
      <c r="EWY19" s="1050"/>
      <c r="EWZ19" s="1050"/>
      <c r="EXA19" s="1050"/>
      <c r="EXB19" s="1050"/>
      <c r="EXC19" s="1050"/>
      <c r="EXD19" s="1050"/>
      <c r="EXE19" s="1050"/>
      <c r="EXF19" s="1050"/>
      <c r="EXG19" s="1050"/>
      <c r="EXH19" s="1050"/>
      <c r="EXI19" s="1050"/>
      <c r="EXJ19" s="1050"/>
      <c r="EXK19" s="1050"/>
      <c r="EXL19" s="1050"/>
      <c r="EXM19" s="1050"/>
      <c r="EXN19" s="1050"/>
      <c r="EXO19" s="1050"/>
      <c r="EXP19" s="1050"/>
      <c r="EXQ19" s="1050"/>
      <c r="EXR19" s="1050"/>
      <c r="EXS19" s="1050"/>
      <c r="EXT19" s="1050"/>
      <c r="EXU19" s="1050"/>
      <c r="EXV19" s="1050"/>
      <c r="EXW19" s="1050"/>
      <c r="EXX19" s="1050"/>
      <c r="EXY19" s="1050"/>
      <c r="EXZ19" s="1050"/>
      <c r="EYA19" s="1050"/>
      <c r="EYB19" s="1050"/>
      <c r="EYC19" s="1050"/>
      <c r="EYD19" s="1050"/>
      <c r="EYE19" s="1050"/>
      <c r="EYF19" s="1050"/>
      <c r="EYG19" s="1050"/>
      <c r="EYH19" s="1050"/>
      <c r="EYI19" s="1050"/>
      <c r="EYJ19" s="1050"/>
      <c r="EYK19" s="1050"/>
      <c r="EYL19" s="1050"/>
      <c r="EYM19" s="1050"/>
      <c r="EYN19" s="1050"/>
      <c r="EYO19" s="1050"/>
      <c r="EYP19" s="1050"/>
      <c r="EYQ19" s="1050"/>
      <c r="EYR19" s="1050"/>
      <c r="EYS19" s="1050"/>
      <c r="EYT19" s="1050"/>
      <c r="EYU19" s="1050"/>
      <c r="EYV19" s="1050"/>
      <c r="EYW19" s="1050"/>
      <c r="EYX19" s="1050"/>
      <c r="EYY19" s="1050"/>
      <c r="EYZ19" s="1050"/>
      <c r="EZA19" s="1050"/>
      <c r="EZB19" s="1050"/>
      <c r="EZC19" s="1050"/>
      <c r="EZD19" s="1050"/>
      <c r="EZE19" s="1050"/>
      <c r="EZF19" s="1050"/>
      <c r="EZG19" s="1050"/>
      <c r="EZH19" s="1050"/>
      <c r="EZI19" s="1050"/>
      <c r="EZJ19" s="1050"/>
      <c r="EZK19" s="1050"/>
      <c r="EZL19" s="1050"/>
      <c r="EZM19" s="1050"/>
      <c r="EZN19" s="1050"/>
      <c r="EZO19" s="1050"/>
      <c r="EZP19" s="1050"/>
      <c r="EZQ19" s="1050"/>
      <c r="EZR19" s="1050"/>
      <c r="EZS19" s="1050"/>
      <c r="EZT19" s="1050"/>
      <c r="EZU19" s="1050"/>
      <c r="EZV19" s="1050"/>
      <c r="EZW19" s="1050"/>
      <c r="EZX19" s="1050"/>
      <c r="EZY19" s="1050"/>
      <c r="EZZ19" s="1050"/>
      <c r="FAA19" s="1050"/>
      <c r="FAB19" s="1050"/>
      <c r="FAC19" s="1050"/>
      <c r="FAD19" s="1050"/>
      <c r="FAE19" s="1050"/>
      <c r="FAF19" s="1050"/>
      <c r="FAG19" s="1050"/>
      <c r="FAH19" s="1050"/>
      <c r="FAI19" s="1050"/>
      <c r="FAJ19" s="1050"/>
      <c r="FAK19" s="1050"/>
      <c r="FAL19" s="1050"/>
      <c r="FAM19" s="1050"/>
      <c r="FAN19" s="1050"/>
      <c r="FAO19" s="1050"/>
      <c r="FAP19" s="1050"/>
      <c r="FAQ19" s="1050"/>
      <c r="FAR19" s="1050"/>
      <c r="FAS19" s="1050"/>
      <c r="FAT19" s="1050"/>
      <c r="FAU19" s="1050"/>
      <c r="FAV19" s="1050"/>
      <c r="FAW19" s="1050"/>
      <c r="FAX19" s="1050"/>
      <c r="FAY19" s="1050"/>
      <c r="FAZ19" s="1050"/>
      <c r="FBA19" s="1050"/>
      <c r="FBB19" s="1050"/>
      <c r="FBC19" s="1050"/>
      <c r="FBD19" s="1050"/>
      <c r="FBE19" s="1050"/>
      <c r="FBF19" s="1050"/>
      <c r="FBG19" s="1050"/>
      <c r="FBH19" s="1050"/>
      <c r="FBI19" s="1050"/>
      <c r="FBJ19" s="1050"/>
      <c r="FBK19" s="1050"/>
      <c r="FBL19" s="1050"/>
      <c r="FBM19" s="1050"/>
      <c r="FBN19" s="1050"/>
      <c r="FBO19" s="1050"/>
      <c r="FBP19" s="1050"/>
      <c r="FBQ19" s="1050"/>
      <c r="FBR19" s="1050"/>
      <c r="FBS19" s="1050"/>
      <c r="FBT19" s="1050"/>
      <c r="FBU19" s="1050"/>
      <c r="FBV19" s="1050"/>
      <c r="FBW19" s="1050"/>
      <c r="FBX19" s="1050"/>
      <c r="FBY19" s="1050"/>
      <c r="FBZ19" s="1050"/>
      <c r="FCA19" s="1050"/>
      <c r="FCB19" s="1050"/>
      <c r="FCC19" s="1050"/>
      <c r="FCD19" s="1050"/>
      <c r="FCE19" s="1050"/>
      <c r="FCF19" s="1050"/>
      <c r="FCG19" s="1050"/>
      <c r="FCH19" s="1050"/>
      <c r="FCI19" s="1050"/>
      <c r="FCJ19" s="1050"/>
      <c r="FCK19" s="1050"/>
      <c r="FCL19" s="1050"/>
      <c r="FCM19" s="1050"/>
      <c r="FCN19" s="1050"/>
      <c r="FCO19" s="1050"/>
      <c r="FCP19" s="1050"/>
      <c r="FCQ19" s="1050"/>
      <c r="FCR19" s="1050"/>
      <c r="FCS19" s="1050"/>
      <c r="FCT19" s="1050"/>
      <c r="FCU19" s="1050"/>
      <c r="FCV19" s="1050"/>
      <c r="FCW19" s="1050"/>
      <c r="FCX19" s="1050"/>
      <c r="FCY19" s="1050"/>
      <c r="FCZ19" s="1050"/>
      <c r="FDA19" s="1050"/>
      <c r="FDB19" s="1050"/>
      <c r="FDC19" s="1050"/>
      <c r="FDD19" s="1050"/>
      <c r="FDE19" s="1050"/>
      <c r="FDF19" s="1050"/>
      <c r="FDG19" s="1050"/>
      <c r="FDH19" s="1050"/>
      <c r="FDI19" s="1050"/>
      <c r="FDJ19" s="1050"/>
      <c r="FDK19" s="1050"/>
      <c r="FDL19" s="1050"/>
      <c r="FDM19" s="1050"/>
      <c r="FDN19" s="1050"/>
      <c r="FDO19" s="1050"/>
      <c r="FDP19" s="1050"/>
      <c r="FDQ19" s="1050"/>
      <c r="FDR19" s="1050"/>
      <c r="FDS19" s="1050"/>
      <c r="FDT19" s="1050"/>
      <c r="FDU19" s="1050"/>
      <c r="FDV19" s="1050"/>
      <c r="FDW19" s="1050"/>
      <c r="FDX19" s="1050"/>
      <c r="FDY19" s="1050"/>
      <c r="FDZ19" s="1050"/>
      <c r="FEA19" s="1050"/>
      <c r="FEB19" s="1050"/>
      <c r="FEC19" s="1050"/>
      <c r="FED19" s="1050"/>
      <c r="FEE19" s="1050"/>
      <c r="FEF19" s="1050"/>
      <c r="FEG19" s="1050"/>
      <c r="FEH19" s="1050"/>
      <c r="FEI19" s="1050"/>
      <c r="FEJ19" s="1050"/>
      <c r="FEK19" s="1050"/>
      <c r="FEL19" s="1050"/>
      <c r="FEM19" s="1050"/>
      <c r="FEN19" s="1050"/>
      <c r="FEO19" s="1050"/>
      <c r="FEP19" s="1050"/>
      <c r="FEQ19" s="1050"/>
      <c r="FER19" s="1050"/>
      <c r="FES19" s="1050"/>
      <c r="FET19" s="1050"/>
      <c r="FEU19" s="1050"/>
      <c r="FEV19" s="1050"/>
      <c r="FEW19" s="1050"/>
      <c r="FEX19" s="1050"/>
      <c r="FEY19" s="1050"/>
      <c r="FEZ19" s="1050"/>
      <c r="FFA19" s="1050"/>
      <c r="FFB19" s="1050"/>
      <c r="FFC19" s="1050"/>
      <c r="FFD19" s="1050"/>
      <c r="FFE19" s="1050"/>
      <c r="FFF19" s="1050"/>
      <c r="FFG19" s="1050"/>
      <c r="FFH19" s="1050"/>
      <c r="FFI19" s="1050"/>
      <c r="FFJ19" s="1050"/>
      <c r="FFK19" s="1050"/>
      <c r="FFL19" s="1050"/>
      <c r="FFM19" s="1050"/>
      <c r="FFN19" s="1050"/>
      <c r="FFO19" s="1050"/>
      <c r="FFP19" s="1050"/>
      <c r="FFQ19" s="1050"/>
      <c r="FFR19" s="1050"/>
      <c r="FFS19" s="1050"/>
      <c r="FFT19" s="1050"/>
      <c r="FFU19" s="1050"/>
      <c r="FFV19" s="1050"/>
      <c r="FFW19" s="1050"/>
      <c r="FFX19" s="1050"/>
      <c r="FFY19" s="1050"/>
      <c r="FFZ19" s="1050"/>
      <c r="FGA19" s="1050"/>
      <c r="FGB19" s="1050"/>
      <c r="FGC19" s="1050"/>
      <c r="FGD19" s="1050"/>
      <c r="FGE19" s="1050"/>
      <c r="FGF19" s="1050"/>
      <c r="FGG19" s="1050"/>
      <c r="FGH19" s="1050"/>
      <c r="FGI19" s="1050"/>
      <c r="FGJ19" s="1050"/>
      <c r="FGK19" s="1050"/>
      <c r="FGL19" s="1050"/>
      <c r="FGM19" s="1050"/>
      <c r="FGN19" s="1050"/>
      <c r="FGO19" s="1050"/>
      <c r="FGP19" s="1050"/>
      <c r="FGQ19" s="1050"/>
      <c r="FGR19" s="1050"/>
      <c r="FGS19" s="1050"/>
      <c r="FGT19" s="1050"/>
      <c r="FGU19" s="1050"/>
      <c r="FGV19" s="1050"/>
      <c r="FGW19" s="1050"/>
      <c r="FGX19" s="1050"/>
      <c r="FGY19" s="1050"/>
      <c r="FGZ19" s="1050"/>
      <c r="FHA19" s="1050"/>
      <c r="FHB19" s="1050"/>
      <c r="FHC19" s="1050"/>
      <c r="FHD19" s="1050"/>
      <c r="FHE19" s="1050"/>
      <c r="FHF19" s="1050"/>
      <c r="FHG19" s="1050"/>
      <c r="FHH19" s="1050"/>
      <c r="FHI19" s="1050"/>
      <c r="FHJ19" s="1050"/>
      <c r="FHK19" s="1050"/>
      <c r="FHL19" s="1050"/>
      <c r="FHM19" s="1050"/>
      <c r="FHN19" s="1050"/>
      <c r="FHO19" s="1050"/>
      <c r="FHP19" s="1050"/>
      <c r="FHQ19" s="1050"/>
      <c r="FHR19" s="1050"/>
      <c r="FHS19" s="1050"/>
      <c r="FHT19" s="1050"/>
      <c r="FHU19" s="1050"/>
      <c r="FHV19" s="1050"/>
      <c r="FHW19" s="1050"/>
      <c r="FHX19" s="1050"/>
      <c r="FHY19" s="1050"/>
      <c r="FHZ19" s="1050"/>
      <c r="FIA19" s="1050"/>
      <c r="FIB19" s="1050"/>
      <c r="FIC19" s="1050"/>
      <c r="FID19" s="1050"/>
      <c r="FIE19" s="1050"/>
      <c r="FIF19" s="1050"/>
      <c r="FIG19" s="1050"/>
      <c r="FIH19" s="1050"/>
      <c r="FII19" s="1050"/>
      <c r="FIJ19" s="1050"/>
      <c r="FIK19" s="1050"/>
      <c r="FIL19" s="1050"/>
      <c r="FIM19" s="1050"/>
      <c r="FIN19" s="1050"/>
      <c r="FIO19" s="1050"/>
      <c r="FIP19" s="1050"/>
      <c r="FIQ19" s="1050"/>
      <c r="FIR19" s="1050"/>
      <c r="FIS19" s="1050"/>
      <c r="FIT19" s="1050"/>
      <c r="FIU19" s="1050"/>
      <c r="FIV19" s="1050"/>
      <c r="FIW19" s="1050"/>
      <c r="FIX19" s="1050"/>
      <c r="FIY19" s="1050"/>
      <c r="FIZ19" s="1050"/>
      <c r="FJA19" s="1050"/>
      <c r="FJB19" s="1050"/>
      <c r="FJC19" s="1050"/>
      <c r="FJD19" s="1050"/>
      <c r="FJE19" s="1050"/>
      <c r="FJF19" s="1050"/>
      <c r="FJG19" s="1050"/>
      <c r="FJH19" s="1050"/>
      <c r="FJI19" s="1050"/>
      <c r="FJJ19" s="1050"/>
      <c r="FJK19" s="1050"/>
      <c r="FJL19" s="1050"/>
      <c r="FJM19" s="1050"/>
      <c r="FJN19" s="1050"/>
      <c r="FJO19" s="1050"/>
      <c r="FJP19" s="1050"/>
      <c r="FJQ19" s="1050"/>
      <c r="FJR19" s="1050"/>
      <c r="FJS19" s="1050"/>
      <c r="FJT19" s="1050"/>
      <c r="FJU19" s="1050"/>
      <c r="FJV19" s="1050"/>
      <c r="FJW19" s="1050"/>
      <c r="FJX19" s="1050"/>
      <c r="FJY19" s="1050"/>
      <c r="FJZ19" s="1050"/>
      <c r="FKA19" s="1050"/>
      <c r="FKB19" s="1050"/>
      <c r="FKC19" s="1050"/>
      <c r="FKD19" s="1050"/>
      <c r="FKE19" s="1050"/>
      <c r="FKF19" s="1050"/>
      <c r="FKG19" s="1050"/>
      <c r="FKH19" s="1050"/>
      <c r="FKI19" s="1050"/>
      <c r="FKJ19" s="1050"/>
      <c r="FKK19" s="1050"/>
      <c r="FKL19" s="1050"/>
      <c r="FKM19" s="1050"/>
      <c r="FKN19" s="1050"/>
      <c r="FKO19" s="1050"/>
      <c r="FKP19" s="1050"/>
      <c r="FKQ19" s="1050"/>
      <c r="FKR19" s="1050"/>
      <c r="FKS19" s="1050"/>
      <c r="FKT19" s="1050"/>
      <c r="FKU19" s="1050"/>
      <c r="FKV19" s="1050"/>
      <c r="FKW19" s="1050"/>
      <c r="FKX19" s="1050"/>
      <c r="FKY19" s="1050"/>
      <c r="FKZ19" s="1050"/>
      <c r="FLA19" s="1050"/>
      <c r="FLB19" s="1050"/>
      <c r="FLC19" s="1050"/>
      <c r="FLD19" s="1050"/>
      <c r="FLE19" s="1050"/>
      <c r="FLF19" s="1050"/>
      <c r="FLG19" s="1050"/>
      <c r="FLH19" s="1050"/>
      <c r="FLI19" s="1050"/>
      <c r="FLJ19" s="1050"/>
      <c r="FLK19" s="1050"/>
      <c r="FLL19" s="1050"/>
      <c r="FLM19" s="1050"/>
      <c r="FLN19" s="1050"/>
      <c r="FLO19" s="1050"/>
      <c r="FLP19" s="1050"/>
      <c r="FLQ19" s="1050"/>
      <c r="FLR19" s="1050"/>
      <c r="FLS19" s="1050"/>
      <c r="FLT19" s="1050"/>
      <c r="FLU19" s="1050"/>
      <c r="FLV19" s="1050"/>
      <c r="FLW19" s="1050"/>
      <c r="FLX19" s="1050"/>
      <c r="FLY19" s="1050"/>
      <c r="FLZ19" s="1050"/>
      <c r="FMA19" s="1050"/>
      <c r="FMB19" s="1050"/>
      <c r="FMC19" s="1050"/>
      <c r="FMD19" s="1050"/>
      <c r="FME19" s="1050"/>
      <c r="FMF19" s="1050"/>
      <c r="FMG19" s="1050"/>
      <c r="FMH19" s="1050"/>
      <c r="FMI19" s="1050"/>
      <c r="FMJ19" s="1050"/>
      <c r="FMK19" s="1050"/>
      <c r="FML19" s="1050"/>
      <c r="FMM19" s="1050"/>
      <c r="FMN19" s="1050"/>
      <c r="FMO19" s="1050"/>
      <c r="FMP19" s="1050"/>
      <c r="FMQ19" s="1050"/>
      <c r="FMR19" s="1050"/>
      <c r="FMS19" s="1050"/>
      <c r="FMT19" s="1050"/>
      <c r="FMU19" s="1050"/>
      <c r="FMV19" s="1050"/>
      <c r="FMW19" s="1050"/>
      <c r="FMX19" s="1050"/>
      <c r="FMY19" s="1050"/>
      <c r="FMZ19" s="1050"/>
      <c r="FNA19" s="1050"/>
      <c r="FNB19" s="1050"/>
      <c r="FNC19" s="1050"/>
      <c r="FND19" s="1050"/>
      <c r="FNE19" s="1050"/>
      <c r="FNF19" s="1050"/>
      <c r="FNG19" s="1050"/>
      <c r="FNH19" s="1050"/>
      <c r="FNI19" s="1050"/>
      <c r="FNJ19" s="1050"/>
      <c r="FNK19" s="1050"/>
      <c r="FNL19" s="1050"/>
      <c r="FNM19" s="1050"/>
      <c r="FNN19" s="1050"/>
      <c r="FNO19" s="1050"/>
      <c r="FNP19" s="1050"/>
      <c r="FNQ19" s="1050"/>
      <c r="FNR19" s="1050"/>
      <c r="FNS19" s="1050"/>
      <c r="FNT19" s="1050"/>
      <c r="FNU19" s="1050"/>
      <c r="FNV19" s="1050"/>
      <c r="FNW19" s="1050"/>
      <c r="FNX19" s="1050"/>
      <c r="FNY19" s="1050"/>
      <c r="FNZ19" s="1050"/>
      <c r="FOA19" s="1050"/>
      <c r="FOB19" s="1050"/>
      <c r="FOC19" s="1050"/>
      <c r="FOD19" s="1050"/>
      <c r="FOE19" s="1050"/>
      <c r="FOF19" s="1050"/>
      <c r="FOG19" s="1050"/>
      <c r="FOH19" s="1050"/>
      <c r="FOI19" s="1050"/>
      <c r="FOJ19" s="1050"/>
      <c r="FOK19" s="1050"/>
      <c r="FOL19" s="1050"/>
      <c r="FOM19" s="1050"/>
      <c r="FON19" s="1050"/>
      <c r="FOO19" s="1050"/>
      <c r="FOP19" s="1050"/>
      <c r="FOQ19" s="1050"/>
      <c r="FOR19" s="1050"/>
      <c r="FOS19" s="1050"/>
      <c r="FOT19" s="1050"/>
      <c r="FOU19" s="1050"/>
      <c r="FOV19" s="1050"/>
      <c r="FOW19" s="1050"/>
      <c r="FOX19" s="1050"/>
      <c r="FOY19" s="1050"/>
      <c r="FOZ19" s="1050"/>
      <c r="FPA19" s="1050"/>
      <c r="FPB19" s="1050"/>
      <c r="FPC19" s="1050"/>
      <c r="FPD19" s="1050"/>
      <c r="FPE19" s="1050"/>
      <c r="FPF19" s="1050"/>
      <c r="FPG19" s="1050"/>
      <c r="FPH19" s="1050"/>
      <c r="FPI19" s="1050"/>
      <c r="FPJ19" s="1050"/>
      <c r="FPK19" s="1050"/>
      <c r="FPL19" s="1050"/>
      <c r="FPM19" s="1050"/>
      <c r="FPN19" s="1050"/>
      <c r="FPO19" s="1050"/>
      <c r="FPP19" s="1050"/>
      <c r="FPQ19" s="1050"/>
      <c r="FPR19" s="1050"/>
      <c r="FPS19" s="1050"/>
      <c r="FPT19" s="1050"/>
      <c r="FPU19" s="1050"/>
      <c r="FPV19" s="1050"/>
      <c r="FPW19" s="1050"/>
      <c r="FPX19" s="1050"/>
      <c r="FPY19" s="1050"/>
      <c r="FPZ19" s="1050"/>
      <c r="FQA19" s="1050"/>
      <c r="FQB19" s="1050"/>
      <c r="FQC19" s="1050"/>
      <c r="FQD19" s="1050"/>
      <c r="FQE19" s="1050"/>
      <c r="FQF19" s="1050"/>
      <c r="FQG19" s="1050"/>
      <c r="FQH19" s="1050"/>
      <c r="FQI19" s="1050"/>
      <c r="FQJ19" s="1050"/>
      <c r="FQK19" s="1050"/>
      <c r="FQL19" s="1050"/>
      <c r="FQM19" s="1050"/>
      <c r="FQN19" s="1050"/>
      <c r="FQO19" s="1050"/>
      <c r="FQP19" s="1050"/>
      <c r="FQQ19" s="1050"/>
      <c r="FQR19" s="1050"/>
      <c r="FQS19" s="1050"/>
      <c r="FQT19" s="1050"/>
      <c r="FQU19" s="1050"/>
      <c r="FQV19" s="1050"/>
      <c r="FQW19" s="1050"/>
      <c r="FQX19" s="1050"/>
      <c r="FQY19" s="1050"/>
      <c r="FQZ19" s="1050"/>
      <c r="FRA19" s="1050"/>
      <c r="FRB19" s="1050"/>
      <c r="FRC19" s="1050"/>
      <c r="FRD19" s="1050"/>
      <c r="FRE19" s="1050"/>
      <c r="FRF19" s="1050"/>
      <c r="FRG19" s="1050"/>
      <c r="FRH19" s="1050"/>
      <c r="FRI19" s="1050"/>
      <c r="FRJ19" s="1050"/>
      <c r="FRK19" s="1050"/>
      <c r="FRL19" s="1050"/>
      <c r="FRM19" s="1050"/>
      <c r="FRN19" s="1050"/>
      <c r="FRO19" s="1050"/>
      <c r="FRP19" s="1050"/>
      <c r="FRQ19" s="1050"/>
      <c r="FRR19" s="1050"/>
      <c r="FRS19" s="1050"/>
      <c r="FRT19" s="1050"/>
      <c r="FRU19" s="1050"/>
      <c r="FRV19" s="1050"/>
      <c r="FRW19" s="1050"/>
      <c r="FRX19" s="1050"/>
      <c r="FRY19" s="1050"/>
      <c r="FRZ19" s="1050"/>
      <c r="FSA19" s="1050"/>
      <c r="FSB19" s="1050"/>
      <c r="FSC19" s="1050"/>
      <c r="FSD19" s="1050"/>
      <c r="FSE19" s="1050"/>
      <c r="FSF19" s="1050"/>
      <c r="FSG19" s="1050"/>
      <c r="FSH19" s="1050"/>
      <c r="FSI19" s="1050"/>
      <c r="FSJ19" s="1050"/>
      <c r="FSK19" s="1050"/>
      <c r="FSL19" s="1050"/>
      <c r="FSM19" s="1050"/>
      <c r="FSN19" s="1050"/>
      <c r="FSO19" s="1050"/>
      <c r="FSP19" s="1050"/>
      <c r="FSQ19" s="1050"/>
      <c r="FSR19" s="1050"/>
      <c r="FSS19" s="1050"/>
      <c r="FST19" s="1050"/>
      <c r="FSU19" s="1050"/>
      <c r="FSV19" s="1050"/>
      <c r="FSW19" s="1050"/>
      <c r="FSX19" s="1050"/>
      <c r="FSY19" s="1050"/>
      <c r="FSZ19" s="1050"/>
      <c r="FTA19" s="1050"/>
      <c r="FTB19" s="1050"/>
      <c r="FTC19" s="1050"/>
      <c r="FTD19" s="1050"/>
      <c r="FTE19" s="1050"/>
      <c r="FTF19" s="1050"/>
      <c r="FTG19" s="1050"/>
      <c r="FTH19" s="1050"/>
      <c r="FTI19" s="1050"/>
      <c r="FTJ19" s="1050"/>
      <c r="FTK19" s="1050"/>
      <c r="FTL19" s="1050"/>
      <c r="FTM19" s="1050"/>
      <c r="FTN19" s="1050"/>
      <c r="FTO19" s="1050"/>
      <c r="FTP19" s="1050"/>
      <c r="FTQ19" s="1050"/>
      <c r="FTR19" s="1050"/>
      <c r="FTS19" s="1050"/>
      <c r="FTT19" s="1050"/>
      <c r="FTU19" s="1050"/>
      <c r="FTV19" s="1050"/>
      <c r="FTW19" s="1050"/>
      <c r="FTX19" s="1050"/>
      <c r="FTY19" s="1050"/>
      <c r="FTZ19" s="1050"/>
      <c r="FUA19" s="1050"/>
      <c r="FUB19" s="1050"/>
      <c r="FUC19" s="1050"/>
      <c r="FUD19" s="1050"/>
      <c r="FUE19" s="1050"/>
      <c r="FUF19" s="1050"/>
      <c r="FUG19" s="1050"/>
      <c r="FUH19" s="1050"/>
      <c r="FUI19" s="1050"/>
      <c r="FUJ19" s="1050"/>
      <c r="FUK19" s="1050"/>
      <c r="FUL19" s="1050"/>
      <c r="FUM19" s="1050"/>
      <c r="FUN19" s="1050"/>
      <c r="FUO19" s="1050"/>
      <c r="FUP19" s="1050"/>
      <c r="FUQ19" s="1050"/>
      <c r="FUR19" s="1050"/>
      <c r="FUS19" s="1050"/>
      <c r="FUT19" s="1050"/>
      <c r="FUU19" s="1050"/>
      <c r="FUV19" s="1050"/>
      <c r="FUW19" s="1050"/>
      <c r="FUX19" s="1050"/>
      <c r="FUY19" s="1050"/>
      <c r="FUZ19" s="1050"/>
      <c r="FVA19" s="1050"/>
      <c r="FVB19" s="1050"/>
      <c r="FVC19" s="1050"/>
      <c r="FVD19" s="1050"/>
      <c r="FVE19" s="1050"/>
      <c r="FVF19" s="1050"/>
      <c r="FVG19" s="1050"/>
      <c r="FVH19" s="1050"/>
      <c r="FVI19" s="1050"/>
      <c r="FVJ19" s="1050"/>
      <c r="FVK19" s="1050"/>
      <c r="FVL19" s="1050"/>
      <c r="FVM19" s="1050"/>
      <c r="FVN19" s="1050"/>
      <c r="FVO19" s="1050"/>
      <c r="FVP19" s="1050"/>
      <c r="FVQ19" s="1050"/>
      <c r="FVR19" s="1050"/>
      <c r="FVS19" s="1050"/>
      <c r="FVT19" s="1050"/>
      <c r="FVU19" s="1050"/>
      <c r="FVV19" s="1050"/>
      <c r="FVW19" s="1050"/>
      <c r="FVX19" s="1050"/>
      <c r="FVY19" s="1050"/>
      <c r="FVZ19" s="1050"/>
      <c r="FWA19" s="1050"/>
      <c r="FWB19" s="1050"/>
      <c r="FWC19" s="1050"/>
      <c r="FWD19" s="1050"/>
      <c r="FWE19" s="1050"/>
      <c r="FWF19" s="1050"/>
      <c r="FWG19" s="1050"/>
      <c r="FWH19" s="1050"/>
      <c r="FWI19" s="1050"/>
      <c r="FWJ19" s="1050"/>
      <c r="FWK19" s="1050"/>
      <c r="FWL19" s="1050"/>
      <c r="FWM19" s="1050"/>
      <c r="FWN19" s="1050"/>
      <c r="FWO19" s="1050"/>
      <c r="FWP19" s="1050"/>
      <c r="FWQ19" s="1050"/>
      <c r="FWR19" s="1050"/>
      <c r="FWS19" s="1050"/>
      <c r="FWT19" s="1050"/>
      <c r="FWU19" s="1050"/>
      <c r="FWV19" s="1050"/>
      <c r="FWW19" s="1050"/>
      <c r="FWX19" s="1050"/>
      <c r="FWY19" s="1050"/>
      <c r="FWZ19" s="1050"/>
      <c r="FXA19" s="1050"/>
      <c r="FXB19" s="1050"/>
      <c r="FXC19" s="1050"/>
      <c r="FXD19" s="1050"/>
      <c r="FXE19" s="1050"/>
      <c r="FXF19" s="1050"/>
      <c r="FXG19" s="1050"/>
      <c r="FXH19" s="1050"/>
      <c r="FXI19" s="1050"/>
      <c r="FXJ19" s="1050"/>
      <c r="FXK19" s="1050"/>
      <c r="FXL19" s="1050"/>
      <c r="FXM19" s="1050"/>
      <c r="FXN19" s="1050"/>
      <c r="FXO19" s="1050"/>
      <c r="FXP19" s="1050"/>
      <c r="FXQ19" s="1050"/>
      <c r="FXR19" s="1050"/>
      <c r="FXS19" s="1050"/>
      <c r="FXT19" s="1050"/>
      <c r="FXU19" s="1050"/>
      <c r="FXV19" s="1050"/>
      <c r="FXW19" s="1050"/>
      <c r="FXX19" s="1050"/>
      <c r="FXY19" s="1050"/>
      <c r="FXZ19" s="1050"/>
      <c r="FYA19" s="1050"/>
      <c r="FYB19" s="1050"/>
      <c r="FYC19" s="1050"/>
      <c r="FYD19" s="1050"/>
      <c r="FYE19" s="1050"/>
      <c r="FYF19" s="1050"/>
      <c r="FYG19" s="1050"/>
      <c r="FYH19" s="1050"/>
      <c r="FYI19" s="1050"/>
      <c r="FYJ19" s="1050"/>
      <c r="FYK19" s="1050"/>
      <c r="FYL19" s="1050"/>
      <c r="FYM19" s="1050"/>
      <c r="FYN19" s="1050"/>
      <c r="FYO19" s="1050"/>
      <c r="FYP19" s="1050"/>
      <c r="FYQ19" s="1050"/>
      <c r="FYR19" s="1050"/>
      <c r="FYS19" s="1050"/>
      <c r="FYT19" s="1050"/>
      <c r="FYU19" s="1050"/>
      <c r="FYV19" s="1050"/>
      <c r="FYW19" s="1050"/>
      <c r="FYX19" s="1050"/>
      <c r="FYY19" s="1050"/>
      <c r="FYZ19" s="1050"/>
      <c r="FZA19" s="1050"/>
      <c r="FZB19" s="1050"/>
      <c r="FZC19" s="1050"/>
      <c r="FZD19" s="1050"/>
      <c r="FZE19" s="1050"/>
      <c r="FZF19" s="1050"/>
      <c r="FZG19" s="1050"/>
      <c r="FZH19" s="1050"/>
      <c r="FZI19" s="1050"/>
      <c r="FZJ19" s="1050"/>
      <c r="FZK19" s="1050"/>
      <c r="FZL19" s="1050"/>
      <c r="FZM19" s="1050"/>
      <c r="FZN19" s="1050"/>
      <c r="FZO19" s="1050"/>
      <c r="FZP19" s="1050"/>
      <c r="FZQ19" s="1050"/>
      <c r="FZR19" s="1050"/>
      <c r="FZS19" s="1050"/>
      <c r="FZT19" s="1050"/>
      <c r="FZU19" s="1050"/>
      <c r="FZV19" s="1050"/>
      <c r="FZW19" s="1050"/>
      <c r="FZX19" s="1050"/>
      <c r="FZY19" s="1050"/>
      <c r="FZZ19" s="1050"/>
      <c r="GAA19" s="1050"/>
      <c r="GAB19" s="1050"/>
      <c r="GAC19" s="1050"/>
      <c r="GAD19" s="1050"/>
      <c r="GAE19" s="1050"/>
      <c r="GAF19" s="1050"/>
      <c r="GAG19" s="1050"/>
      <c r="GAH19" s="1050"/>
      <c r="GAI19" s="1050"/>
      <c r="GAJ19" s="1050"/>
      <c r="GAK19" s="1050"/>
      <c r="GAL19" s="1050"/>
      <c r="GAM19" s="1050"/>
      <c r="GAN19" s="1050"/>
      <c r="GAO19" s="1050"/>
      <c r="GAP19" s="1050"/>
      <c r="GAQ19" s="1050"/>
      <c r="GAR19" s="1050"/>
      <c r="GAS19" s="1050"/>
      <c r="GAT19" s="1050"/>
      <c r="GAU19" s="1050"/>
      <c r="GAV19" s="1050"/>
      <c r="GAW19" s="1050"/>
      <c r="GAX19" s="1050"/>
      <c r="GAY19" s="1050"/>
      <c r="GAZ19" s="1050"/>
      <c r="GBA19" s="1050"/>
      <c r="GBB19" s="1050"/>
      <c r="GBC19" s="1050"/>
      <c r="GBD19" s="1050"/>
      <c r="GBE19" s="1050"/>
      <c r="GBF19" s="1050"/>
      <c r="GBG19" s="1050"/>
      <c r="GBH19" s="1050"/>
      <c r="GBI19" s="1050"/>
      <c r="GBJ19" s="1050"/>
      <c r="GBK19" s="1050"/>
      <c r="GBL19" s="1050"/>
      <c r="GBM19" s="1050"/>
      <c r="GBN19" s="1050"/>
      <c r="GBO19" s="1050"/>
      <c r="GBP19" s="1050"/>
      <c r="GBQ19" s="1050"/>
      <c r="GBR19" s="1050"/>
      <c r="GBS19" s="1050"/>
      <c r="GBT19" s="1050"/>
      <c r="GBU19" s="1050"/>
      <c r="GBV19" s="1050"/>
      <c r="GBW19" s="1050"/>
      <c r="GBX19" s="1050"/>
      <c r="GBY19" s="1050"/>
      <c r="GBZ19" s="1050"/>
      <c r="GCA19" s="1050"/>
      <c r="GCB19" s="1050"/>
      <c r="GCC19" s="1050"/>
      <c r="GCD19" s="1050"/>
      <c r="GCE19" s="1050"/>
      <c r="GCF19" s="1050"/>
      <c r="GCG19" s="1050"/>
      <c r="GCH19" s="1050"/>
      <c r="GCI19" s="1050"/>
      <c r="GCJ19" s="1050"/>
      <c r="GCK19" s="1050"/>
      <c r="GCL19" s="1050"/>
      <c r="GCM19" s="1050"/>
      <c r="GCN19" s="1050"/>
      <c r="GCO19" s="1050"/>
      <c r="GCP19" s="1050"/>
      <c r="GCQ19" s="1050"/>
      <c r="GCR19" s="1050"/>
      <c r="GCS19" s="1050"/>
      <c r="GCT19" s="1050"/>
      <c r="GCU19" s="1050"/>
      <c r="GCV19" s="1050"/>
      <c r="GCW19" s="1050"/>
      <c r="GCX19" s="1050"/>
      <c r="GCY19" s="1050"/>
      <c r="GCZ19" s="1050"/>
      <c r="GDA19" s="1050"/>
      <c r="GDB19" s="1050"/>
      <c r="GDC19" s="1050"/>
      <c r="GDD19" s="1050"/>
      <c r="GDE19" s="1050"/>
      <c r="GDF19" s="1050"/>
      <c r="GDG19" s="1050"/>
      <c r="GDH19" s="1050"/>
      <c r="GDI19" s="1050"/>
      <c r="GDJ19" s="1050"/>
      <c r="GDK19" s="1050"/>
      <c r="GDL19" s="1050"/>
      <c r="GDM19" s="1050"/>
      <c r="GDN19" s="1050"/>
      <c r="GDO19" s="1050"/>
      <c r="GDP19" s="1050"/>
      <c r="GDQ19" s="1050"/>
      <c r="GDR19" s="1050"/>
      <c r="GDS19" s="1050"/>
      <c r="GDT19" s="1050"/>
      <c r="GDU19" s="1050"/>
      <c r="GDV19" s="1050"/>
      <c r="GDW19" s="1050"/>
      <c r="GDX19" s="1050"/>
      <c r="GDY19" s="1050"/>
      <c r="GDZ19" s="1050"/>
      <c r="GEA19" s="1050"/>
      <c r="GEB19" s="1050"/>
      <c r="GEC19" s="1050"/>
      <c r="GED19" s="1050"/>
      <c r="GEE19" s="1050"/>
      <c r="GEF19" s="1050"/>
      <c r="GEG19" s="1050"/>
      <c r="GEH19" s="1050"/>
      <c r="GEI19" s="1050"/>
      <c r="GEJ19" s="1050"/>
      <c r="GEK19" s="1050"/>
      <c r="GEL19" s="1050"/>
      <c r="GEM19" s="1050"/>
      <c r="GEN19" s="1050"/>
      <c r="GEO19" s="1050"/>
      <c r="GEP19" s="1050"/>
      <c r="GEQ19" s="1050"/>
      <c r="GER19" s="1050"/>
      <c r="GES19" s="1050"/>
      <c r="GET19" s="1050"/>
      <c r="GEU19" s="1050"/>
      <c r="GEV19" s="1050"/>
      <c r="GEW19" s="1050"/>
      <c r="GEX19" s="1050"/>
      <c r="GEY19" s="1050"/>
      <c r="GEZ19" s="1050"/>
      <c r="GFA19" s="1050"/>
      <c r="GFB19" s="1050"/>
      <c r="GFC19" s="1050"/>
      <c r="GFD19" s="1050"/>
      <c r="GFE19" s="1050"/>
      <c r="GFF19" s="1050"/>
      <c r="GFG19" s="1050"/>
      <c r="GFH19" s="1050"/>
      <c r="GFI19" s="1050"/>
      <c r="GFJ19" s="1050"/>
      <c r="GFK19" s="1050"/>
      <c r="GFL19" s="1050"/>
      <c r="GFM19" s="1050"/>
      <c r="GFN19" s="1050"/>
      <c r="GFO19" s="1050"/>
      <c r="GFP19" s="1050"/>
      <c r="GFQ19" s="1050"/>
      <c r="GFR19" s="1050"/>
      <c r="GFS19" s="1050"/>
      <c r="GFT19" s="1050"/>
      <c r="GFU19" s="1050"/>
      <c r="GFV19" s="1050"/>
      <c r="GFW19" s="1050"/>
      <c r="GFX19" s="1050"/>
      <c r="GFY19" s="1050"/>
      <c r="GFZ19" s="1050"/>
      <c r="GGA19" s="1050"/>
      <c r="GGB19" s="1050"/>
      <c r="GGC19" s="1050"/>
      <c r="GGD19" s="1050"/>
      <c r="GGE19" s="1050"/>
      <c r="GGF19" s="1050"/>
      <c r="GGG19" s="1050"/>
      <c r="GGH19" s="1050"/>
      <c r="GGI19" s="1050"/>
      <c r="GGJ19" s="1050"/>
      <c r="GGK19" s="1050"/>
      <c r="GGL19" s="1050"/>
      <c r="GGM19" s="1050"/>
      <c r="GGN19" s="1050"/>
      <c r="GGO19" s="1050"/>
      <c r="GGP19" s="1050"/>
      <c r="GGQ19" s="1050"/>
      <c r="GGR19" s="1050"/>
      <c r="GGS19" s="1050"/>
      <c r="GGT19" s="1050"/>
      <c r="GGU19" s="1050"/>
      <c r="GGV19" s="1050"/>
      <c r="GGW19" s="1050"/>
      <c r="GGX19" s="1050"/>
      <c r="GGY19" s="1050"/>
      <c r="GGZ19" s="1050"/>
      <c r="GHA19" s="1050"/>
      <c r="GHB19" s="1050"/>
      <c r="GHC19" s="1050"/>
      <c r="GHD19" s="1050"/>
      <c r="GHE19" s="1050"/>
      <c r="GHF19" s="1050"/>
      <c r="GHG19" s="1050"/>
      <c r="GHH19" s="1050"/>
      <c r="GHI19" s="1050"/>
      <c r="GHJ19" s="1050"/>
      <c r="GHK19" s="1050"/>
      <c r="GHL19" s="1050"/>
      <c r="GHM19" s="1050"/>
      <c r="GHN19" s="1050"/>
      <c r="GHO19" s="1050"/>
      <c r="GHP19" s="1050"/>
      <c r="GHQ19" s="1050"/>
      <c r="GHR19" s="1050"/>
      <c r="GHS19" s="1050"/>
      <c r="GHT19" s="1050"/>
      <c r="GHU19" s="1050"/>
      <c r="GHV19" s="1050"/>
      <c r="GHW19" s="1050"/>
      <c r="GHX19" s="1050"/>
      <c r="GHY19" s="1050"/>
      <c r="GHZ19" s="1050"/>
      <c r="GIA19" s="1050"/>
      <c r="GIB19" s="1050"/>
      <c r="GIC19" s="1050"/>
      <c r="GID19" s="1050"/>
      <c r="GIE19" s="1050"/>
      <c r="GIF19" s="1050"/>
      <c r="GIG19" s="1050"/>
      <c r="GIH19" s="1050"/>
      <c r="GII19" s="1050"/>
      <c r="GIJ19" s="1050"/>
      <c r="GIK19" s="1050"/>
      <c r="GIL19" s="1050"/>
      <c r="GIM19" s="1050"/>
      <c r="GIN19" s="1050"/>
      <c r="GIO19" s="1050"/>
      <c r="GIP19" s="1050"/>
      <c r="GIQ19" s="1050"/>
      <c r="GIR19" s="1050"/>
      <c r="GIS19" s="1050"/>
      <c r="GIT19" s="1050"/>
      <c r="GIU19" s="1050"/>
      <c r="GIV19" s="1050"/>
      <c r="GIW19" s="1050"/>
      <c r="GIX19" s="1050"/>
      <c r="GIY19" s="1050"/>
      <c r="GIZ19" s="1050"/>
      <c r="GJA19" s="1050"/>
      <c r="GJB19" s="1050"/>
      <c r="GJC19" s="1050"/>
      <c r="GJD19" s="1050"/>
      <c r="GJE19" s="1050"/>
      <c r="GJF19" s="1050"/>
      <c r="GJG19" s="1050"/>
      <c r="GJH19" s="1050"/>
      <c r="GJI19" s="1050"/>
      <c r="GJJ19" s="1050"/>
      <c r="GJK19" s="1050"/>
      <c r="GJL19" s="1050"/>
      <c r="GJM19" s="1050"/>
      <c r="GJN19" s="1050"/>
      <c r="GJO19" s="1050"/>
      <c r="GJP19" s="1050"/>
      <c r="GJQ19" s="1050"/>
      <c r="GJR19" s="1050"/>
      <c r="GJS19" s="1050"/>
      <c r="GJT19" s="1050"/>
      <c r="GJU19" s="1050"/>
      <c r="GJV19" s="1050"/>
      <c r="GJW19" s="1050"/>
      <c r="GJX19" s="1050"/>
      <c r="GJY19" s="1050"/>
      <c r="GJZ19" s="1050"/>
      <c r="GKA19" s="1050"/>
      <c r="GKB19" s="1050"/>
      <c r="GKC19" s="1050"/>
      <c r="GKD19" s="1050"/>
      <c r="GKE19" s="1050"/>
      <c r="GKF19" s="1050"/>
      <c r="GKG19" s="1050"/>
      <c r="GKH19" s="1050"/>
      <c r="GKI19" s="1050"/>
      <c r="GKJ19" s="1050"/>
      <c r="GKK19" s="1050"/>
      <c r="GKL19" s="1050"/>
      <c r="GKM19" s="1050"/>
      <c r="GKN19" s="1050"/>
      <c r="GKO19" s="1050"/>
      <c r="GKP19" s="1050"/>
      <c r="GKQ19" s="1050"/>
      <c r="GKR19" s="1050"/>
      <c r="GKS19" s="1050"/>
      <c r="GKT19" s="1050"/>
      <c r="GKU19" s="1050"/>
      <c r="GKV19" s="1050"/>
      <c r="GKW19" s="1050"/>
      <c r="GKX19" s="1050"/>
      <c r="GKY19" s="1050"/>
      <c r="GKZ19" s="1050"/>
      <c r="GLA19" s="1050"/>
      <c r="GLB19" s="1050"/>
      <c r="GLC19" s="1050"/>
      <c r="GLD19" s="1050"/>
      <c r="GLE19" s="1050"/>
      <c r="GLF19" s="1050"/>
      <c r="GLG19" s="1050"/>
      <c r="GLH19" s="1050"/>
      <c r="GLI19" s="1050"/>
      <c r="GLJ19" s="1050"/>
      <c r="GLK19" s="1050"/>
      <c r="GLL19" s="1050"/>
      <c r="GLM19" s="1050"/>
      <c r="GLN19" s="1050"/>
      <c r="GLO19" s="1050"/>
      <c r="GLP19" s="1050"/>
      <c r="GLQ19" s="1050"/>
      <c r="GLR19" s="1050"/>
      <c r="GLS19" s="1050"/>
      <c r="GLT19" s="1050"/>
      <c r="GLU19" s="1050"/>
      <c r="GLV19" s="1050"/>
      <c r="GLW19" s="1050"/>
      <c r="GLX19" s="1050"/>
      <c r="GLY19" s="1050"/>
      <c r="GLZ19" s="1050"/>
      <c r="GMA19" s="1050"/>
      <c r="GMB19" s="1050"/>
      <c r="GMC19" s="1050"/>
      <c r="GMD19" s="1050"/>
      <c r="GME19" s="1050"/>
      <c r="GMF19" s="1050"/>
      <c r="GMG19" s="1050"/>
      <c r="GMH19" s="1050"/>
      <c r="GMI19" s="1050"/>
      <c r="GMJ19" s="1050"/>
      <c r="GMK19" s="1050"/>
      <c r="GML19" s="1050"/>
      <c r="GMM19" s="1050"/>
      <c r="GMN19" s="1050"/>
      <c r="GMO19" s="1050"/>
      <c r="GMP19" s="1050"/>
      <c r="GMQ19" s="1050"/>
      <c r="GMR19" s="1050"/>
      <c r="GMS19" s="1050"/>
      <c r="GMT19" s="1050"/>
      <c r="GMU19" s="1050"/>
      <c r="GMV19" s="1050"/>
      <c r="GMW19" s="1050"/>
      <c r="GMX19" s="1050"/>
      <c r="GMY19" s="1050"/>
      <c r="GMZ19" s="1050"/>
      <c r="GNA19" s="1050"/>
      <c r="GNB19" s="1050"/>
      <c r="GNC19" s="1050"/>
      <c r="GND19" s="1050"/>
      <c r="GNE19" s="1050"/>
      <c r="GNF19" s="1050"/>
      <c r="GNG19" s="1050"/>
      <c r="GNH19" s="1050"/>
      <c r="GNI19" s="1050"/>
      <c r="GNJ19" s="1050"/>
      <c r="GNK19" s="1050"/>
      <c r="GNL19" s="1050"/>
      <c r="GNM19" s="1050"/>
      <c r="GNN19" s="1050"/>
      <c r="GNO19" s="1050"/>
      <c r="GNP19" s="1050"/>
      <c r="GNQ19" s="1050"/>
      <c r="GNR19" s="1050"/>
      <c r="GNS19" s="1050"/>
      <c r="GNT19" s="1050"/>
      <c r="GNU19" s="1050"/>
      <c r="GNV19" s="1050"/>
      <c r="GNW19" s="1050"/>
      <c r="GNX19" s="1050"/>
      <c r="GNY19" s="1050"/>
      <c r="GNZ19" s="1050"/>
      <c r="GOA19" s="1050"/>
      <c r="GOB19" s="1050"/>
      <c r="GOC19" s="1050"/>
      <c r="GOD19" s="1050"/>
      <c r="GOE19" s="1050"/>
      <c r="GOF19" s="1050"/>
      <c r="GOG19" s="1050"/>
      <c r="GOH19" s="1050"/>
      <c r="GOI19" s="1050"/>
      <c r="GOJ19" s="1050"/>
      <c r="GOK19" s="1050"/>
      <c r="GOL19" s="1050"/>
      <c r="GOM19" s="1050"/>
      <c r="GON19" s="1050"/>
      <c r="GOO19" s="1050"/>
      <c r="GOP19" s="1050"/>
      <c r="GOQ19" s="1050"/>
      <c r="GOR19" s="1050"/>
      <c r="GOS19" s="1050"/>
      <c r="GOT19" s="1050"/>
      <c r="GOU19" s="1050"/>
      <c r="GOV19" s="1050"/>
      <c r="GOW19" s="1050"/>
      <c r="GOX19" s="1050"/>
      <c r="GOY19" s="1050"/>
      <c r="GOZ19" s="1050"/>
      <c r="GPA19" s="1050"/>
      <c r="GPB19" s="1050"/>
      <c r="GPC19" s="1050"/>
      <c r="GPD19" s="1050"/>
      <c r="GPE19" s="1050"/>
      <c r="GPF19" s="1050"/>
      <c r="GPG19" s="1050"/>
      <c r="GPH19" s="1050"/>
      <c r="GPI19" s="1050"/>
      <c r="GPJ19" s="1050"/>
      <c r="GPK19" s="1050"/>
      <c r="GPL19" s="1050"/>
      <c r="GPM19" s="1050"/>
      <c r="GPN19" s="1050"/>
      <c r="GPO19" s="1050"/>
      <c r="GPP19" s="1050"/>
      <c r="GPQ19" s="1050"/>
      <c r="GPR19" s="1050"/>
      <c r="GPS19" s="1050"/>
      <c r="GPT19" s="1050"/>
      <c r="GPU19" s="1050"/>
      <c r="GPV19" s="1050"/>
      <c r="GPW19" s="1050"/>
      <c r="GPX19" s="1050"/>
      <c r="GPY19" s="1050"/>
      <c r="GPZ19" s="1050"/>
      <c r="GQA19" s="1050"/>
      <c r="GQB19" s="1050"/>
      <c r="GQC19" s="1050"/>
      <c r="GQD19" s="1050"/>
      <c r="GQE19" s="1050"/>
      <c r="GQF19" s="1050"/>
      <c r="GQG19" s="1050"/>
      <c r="GQH19" s="1050"/>
      <c r="GQI19" s="1050"/>
      <c r="GQJ19" s="1050"/>
      <c r="GQK19" s="1050"/>
      <c r="GQL19" s="1050"/>
      <c r="GQM19" s="1050"/>
      <c r="GQN19" s="1050"/>
      <c r="GQO19" s="1050"/>
      <c r="GQP19" s="1050"/>
      <c r="GQQ19" s="1050"/>
      <c r="GQR19" s="1050"/>
      <c r="GQS19" s="1050"/>
      <c r="GQT19" s="1050"/>
      <c r="GQU19" s="1050"/>
      <c r="GQV19" s="1050"/>
      <c r="GQW19" s="1050"/>
      <c r="GQX19" s="1050"/>
      <c r="GQY19" s="1050"/>
      <c r="GQZ19" s="1050"/>
      <c r="GRA19" s="1050"/>
      <c r="GRB19" s="1050"/>
      <c r="GRC19" s="1050"/>
      <c r="GRD19" s="1050"/>
      <c r="GRE19" s="1050"/>
      <c r="GRF19" s="1050"/>
      <c r="GRG19" s="1050"/>
      <c r="GRH19" s="1050"/>
      <c r="GRI19" s="1050"/>
      <c r="GRJ19" s="1050"/>
      <c r="GRK19" s="1050"/>
      <c r="GRL19" s="1050"/>
      <c r="GRM19" s="1050"/>
      <c r="GRN19" s="1050"/>
      <c r="GRO19" s="1050"/>
      <c r="GRP19" s="1050"/>
      <c r="GRQ19" s="1050"/>
      <c r="GRR19" s="1050"/>
      <c r="GRS19" s="1050"/>
      <c r="GRT19" s="1050"/>
      <c r="GRU19" s="1050"/>
      <c r="GRV19" s="1050"/>
      <c r="GRW19" s="1050"/>
      <c r="GRX19" s="1050"/>
      <c r="GRY19" s="1050"/>
      <c r="GRZ19" s="1050"/>
      <c r="GSA19" s="1050"/>
      <c r="GSB19" s="1050"/>
      <c r="GSC19" s="1050"/>
      <c r="GSD19" s="1050"/>
      <c r="GSE19" s="1050"/>
      <c r="GSF19" s="1050"/>
      <c r="GSG19" s="1050"/>
      <c r="GSH19" s="1050"/>
      <c r="GSI19" s="1050"/>
      <c r="GSJ19" s="1050"/>
      <c r="GSK19" s="1050"/>
      <c r="GSL19" s="1050"/>
      <c r="GSM19" s="1050"/>
      <c r="GSN19" s="1050"/>
      <c r="GSO19" s="1050"/>
      <c r="GSP19" s="1050"/>
      <c r="GSQ19" s="1050"/>
      <c r="GSR19" s="1050"/>
      <c r="GSS19" s="1050"/>
      <c r="GST19" s="1050"/>
      <c r="GSU19" s="1050"/>
      <c r="GSV19" s="1050"/>
      <c r="GSW19" s="1050"/>
      <c r="GSX19" s="1050"/>
      <c r="GSY19" s="1050"/>
      <c r="GSZ19" s="1050"/>
      <c r="GTA19" s="1050"/>
      <c r="GTB19" s="1050"/>
      <c r="GTC19" s="1050"/>
      <c r="GTD19" s="1050"/>
      <c r="GTE19" s="1050"/>
      <c r="GTF19" s="1050"/>
      <c r="GTG19" s="1050"/>
      <c r="GTH19" s="1050"/>
      <c r="GTI19" s="1050"/>
      <c r="GTJ19" s="1050"/>
      <c r="GTK19" s="1050"/>
      <c r="GTL19" s="1050"/>
      <c r="GTM19" s="1050"/>
      <c r="GTN19" s="1050"/>
      <c r="GTO19" s="1050"/>
      <c r="GTP19" s="1050"/>
      <c r="GTQ19" s="1050"/>
      <c r="GTR19" s="1050"/>
      <c r="GTS19" s="1050"/>
      <c r="GTT19" s="1050"/>
      <c r="GTU19" s="1050"/>
      <c r="GTV19" s="1050"/>
      <c r="GTW19" s="1050"/>
      <c r="GTX19" s="1050"/>
      <c r="GTY19" s="1050"/>
      <c r="GTZ19" s="1050"/>
      <c r="GUA19" s="1050"/>
      <c r="GUB19" s="1050"/>
      <c r="GUC19" s="1050"/>
      <c r="GUD19" s="1050"/>
      <c r="GUE19" s="1050"/>
      <c r="GUF19" s="1050"/>
      <c r="GUG19" s="1050"/>
      <c r="GUH19" s="1050"/>
      <c r="GUI19" s="1050"/>
      <c r="GUJ19" s="1050"/>
      <c r="GUK19" s="1050"/>
      <c r="GUL19" s="1050"/>
      <c r="GUM19" s="1050"/>
      <c r="GUN19" s="1050"/>
      <c r="GUO19" s="1050"/>
      <c r="GUP19" s="1050"/>
      <c r="GUQ19" s="1050"/>
      <c r="GUR19" s="1050"/>
      <c r="GUS19" s="1050"/>
      <c r="GUT19" s="1050"/>
      <c r="GUU19" s="1050"/>
      <c r="GUV19" s="1050"/>
      <c r="GUW19" s="1050"/>
      <c r="GUX19" s="1050"/>
      <c r="GUY19" s="1050"/>
      <c r="GUZ19" s="1050"/>
      <c r="GVA19" s="1050"/>
      <c r="GVB19" s="1050"/>
      <c r="GVC19" s="1050"/>
      <c r="GVD19" s="1050"/>
      <c r="GVE19" s="1050"/>
      <c r="GVF19" s="1050"/>
      <c r="GVG19" s="1050"/>
      <c r="GVH19" s="1050"/>
      <c r="GVI19" s="1050"/>
      <c r="GVJ19" s="1050"/>
      <c r="GVK19" s="1050"/>
      <c r="GVL19" s="1050"/>
      <c r="GVM19" s="1050"/>
      <c r="GVN19" s="1050"/>
      <c r="GVO19" s="1050"/>
      <c r="GVP19" s="1050"/>
      <c r="GVQ19" s="1050"/>
      <c r="GVR19" s="1050"/>
      <c r="GVS19" s="1050"/>
      <c r="GVT19" s="1050"/>
      <c r="GVU19" s="1050"/>
      <c r="GVV19" s="1050"/>
      <c r="GVW19" s="1050"/>
      <c r="GVX19" s="1050"/>
      <c r="GVY19" s="1050"/>
      <c r="GVZ19" s="1050"/>
      <c r="GWA19" s="1050"/>
      <c r="GWB19" s="1050"/>
      <c r="GWC19" s="1050"/>
      <c r="GWD19" s="1050"/>
      <c r="GWE19" s="1050"/>
      <c r="GWF19" s="1050"/>
      <c r="GWG19" s="1050"/>
      <c r="GWH19" s="1050"/>
      <c r="GWI19" s="1050"/>
      <c r="GWJ19" s="1050"/>
      <c r="GWK19" s="1050"/>
      <c r="GWL19" s="1050"/>
      <c r="GWM19" s="1050"/>
      <c r="GWN19" s="1050"/>
      <c r="GWO19" s="1050"/>
      <c r="GWP19" s="1050"/>
      <c r="GWQ19" s="1050"/>
      <c r="GWR19" s="1050"/>
      <c r="GWS19" s="1050"/>
      <c r="GWT19" s="1050"/>
      <c r="GWU19" s="1050"/>
      <c r="GWV19" s="1050"/>
      <c r="GWW19" s="1050"/>
      <c r="GWX19" s="1050"/>
      <c r="GWY19" s="1050"/>
      <c r="GWZ19" s="1050"/>
      <c r="GXA19" s="1050"/>
      <c r="GXB19" s="1050"/>
      <c r="GXC19" s="1050"/>
      <c r="GXD19" s="1050"/>
      <c r="GXE19" s="1050"/>
      <c r="GXF19" s="1050"/>
      <c r="GXG19" s="1050"/>
      <c r="GXH19" s="1050"/>
      <c r="GXI19" s="1050"/>
      <c r="GXJ19" s="1050"/>
      <c r="GXK19" s="1050"/>
      <c r="GXL19" s="1050"/>
      <c r="GXM19" s="1050"/>
      <c r="GXN19" s="1050"/>
      <c r="GXO19" s="1050"/>
      <c r="GXP19" s="1050"/>
      <c r="GXQ19" s="1050"/>
      <c r="GXR19" s="1050"/>
      <c r="GXS19" s="1050"/>
      <c r="GXT19" s="1050"/>
      <c r="GXU19" s="1050"/>
      <c r="GXV19" s="1050"/>
      <c r="GXW19" s="1050"/>
      <c r="GXX19" s="1050"/>
      <c r="GXY19" s="1050"/>
      <c r="GXZ19" s="1050"/>
      <c r="GYA19" s="1050"/>
      <c r="GYB19" s="1050"/>
      <c r="GYC19" s="1050"/>
      <c r="GYD19" s="1050"/>
      <c r="GYE19" s="1050"/>
      <c r="GYF19" s="1050"/>
      <c r="GYG19" s="1050"/>
      <c r="GYH19" s="1050"/>
      <c r="GYI19" s="1050"/>
      <c r="GYJ19" s="1050"/>
      <c r="GYK19" s="1050"/>
      <c r="GYL19" s="1050"/>
      <c r="GYM19" s="1050"/>
      <c r="GYN19" s="1050"/>
      <c r="GYO19" s="1050"/>
      <c r="GYP19" s="1050"/>
      <c r="GYQ19" s="1050"/>
      <c r="GYR19" s="1050"/>
      <c r="GYS19" s="1050"/>
      <c r="GYT19" s="1050"/>
      <c r="GYU19" s="1050"/>
      <c r="GYV19" s="1050"/>
      <c r="GYW19" s="1050"/>
      <c r="GYX19" s="1050"/>
      <c r="GYY19" s="1050"/>
      <c r="GYZ19" s="1050"/>
      <c r="GZA19" s="1050"/>
      <c r="GZB19" s="1050"/>
      <c r="GZC19" s="1050"/>
      <c r="GZD19" s="1050"/>
      <c r="GZE19" s="1050"/>
      <c r="GZF19" s="1050"/>
      <c r="GZG19" s="1050"/>
      <c r="GZH19" s="1050"/>
      <c r="GZI19" s="1050"/>
      <c r="GZJ19" s="1050"/>
      <c r="GZK19" s="1050"/>
      <c r="GZL19" s="1050"/>
      <c r="GZM19" s="1050"/>
      <c r="GZN19" s="1050"/>
      <c r="GZO19" s="1050"/>
      <c r="GZP19" s="1050"/>
      <c r="GZQ19" s="1050"/>
      <c r="GZR19" s="1050"/>
      <c r="GZS19" s="1050"/>
      <c r="GZT19" s="1050"/>
      <c r="GZU19" s="1050"/>
      <c r="GZV19" s="1050"/>
      <c r="GZW19" s="1050"/>
      <c r="GZX19" s="1050"/>
      <c r="GZY19" s="1050"/>
      <c r="GZZ19" s="1050"/>
      <c r="HAA19" s="1050"/>
      <c r="HAB19" s="1050"/>
      <c r="HAC19" s="1050"/>
      <c r="HAD19" s="1050"/>
      <c r="HAE19" s="1050"/>
      <c r="HAF19" s="1050"/>
      <c r="HAG19" s="1050"/>
      <c r="HAH19" s="1050"/>
      <c r="HAI19" s="1050"/>
      <c r="HAJ19" s="1050"/>
      <c r="HAK19" s="1050"/>
      <c r="HAL19" s="1050"/>
      <c r="HAM19" s="1050"/>
      <c r="HAN19" s="1050"/>
      <c r="HAO19" s="1050"/>
      <c r="HAP19" s="1050"/>
      <c r="HAQ19" s="1050"/>
      <c r="HAR19" s="1050"/>
      <c r="HAS19" s="1050"/>
      <c r="HAT19" s="1050"/>
      <c r="HAU19" s="1050"/>
      <c r="HAV19" s="1050"/>
      <c r="HAW19" s="1050"/>
      <c r="HAX19" s="1050"/>
      <c r="HAY19" s="1050"/>
      <c r="HAZ19" s="1050"/>
      <c r="HBA19" s="1050"/>
      <c r="HBB19" s="1050"/>
      <c r="HBC19" s="1050"/>
      <c r="HBD19" s="1050"/>
      <c r="HBE19" s="1050"/>
      <c r="HBF19" s="1050"/>
      <c r="HBG19" s="1050"/>
      <c r="HBH19" s="1050"/>
      <c r="HBI19" s="1050"/>
      <c r="HBJ19" s="1050"/>
      <c r="HBK19" s="1050"/>
      <c r="HBL19" s="1050"/>
      <c r="HBM19" s="1050"/>
      <c r="HBN19" s="1050"/>
      <c r="HBO19" s="1050"/>
      <c r="HBP19" s="1050"/>
      <c r="HBQ19" s="1050"/>
      <c r="HBR19" s="1050"/>
      <c r="HBS19" s="1050"/>
      <c r="HBT19" s="1050"/>
      <c r="HBU19" s="1050"/>
      <c r="HBV19" s="1050"/>
      <c r="HBW19" s="1050"/>
      <c r="HBX19" s="1050"/>
      <c r="HBY19" s="1050"/>
      <c r="HBZ19" s="1050"/>
      <c r="HCA19" s="1050"/>
      <c r="HCB19" s="1050"/>
      <c r="HCC19" s="1050"/>
      <c r="HCD19" s="1050"/>
      <c r="HCE19" s="1050"/>
      <c r="HCF19" s="1050"/>
      <c r="HCG19" s="1050"/>
      <c r="HCH19" s="1050"/>
      <c r="HCI19" s="1050"/>
      <c r="HCJ19" s="1050"/>
      <c r="HCK19" s="1050"/>
      <c r="HCL19" s="1050"/>
      <c r="HCM19" s="1050"/>
      <c r="HCN19" s="1050"/>
      <c r="HCO19" s="1050"/>
      <c r="HCP19" s="1050"/>
      <c r="HCQ19" s="1050"/>
      <c r="HCR19" s="1050"/>
      <c r="HCS19" s="1050"/>
      <c r="HCT19" s="1050"/>
      <c r="HCU19" s="1050"/>
      <c r="HCV19" s="1050"/>
      <c r="HCW19" s="1050"/>
      <c r="HCX19" s="1050"/>
      <c r="HCY19" s="1050"/>
      <c r="HCZ19" s="1050"/>
      <c r="HDA19" s="1050"/>
      <c r="HDB19" s="1050"/>
      <c r="HDC19" s="1050"/>
      <c r="HDD19" s="1050"/>
      <c r="HDE19" s="1050"/>
      <c r="HDF19" s="1050"/>
      <c r="HDG19" s="1050"/>
      <c r="HDH19" s="1050"/>
      <c r="HDI19" s="1050"/>
      <c r="HDJ19" s="1050"/>
      <c r="HDK19" s="1050"/>
      <c r="HDL19" s="1050"/>
      <c r="HDM19" s="1050"/>
      <c r="HDN19" s="1050"/>
      <c r="HDO19" s="1050"/>
      <c r="HDP19" s="1050"/>
      <c r="HDQ19" s="1050"/>
      <c r="HDR19" s="1050"/>
      <c r="HDS19" s="1050"/>
      <c r="HDT19" s="1050"/>
      <c r="HDU19" s="1050"/>
      <c r="HDV19" s="1050"/>
      <c r="HDW19" s="1050"/>
      <c r="HDX19" s="1050"/>
      <c r="HDY19" s="1050"/>
      <c r="HDZ19" s="1050"/>
      <c r="HEA19" s="1050"/>
      <c r="HEB19" s="1050"/>
      <c r="HEC19" s="1050"/>
      <c r="HED19" s="1050"/>
      <c r="HEE19" s="1050"/>
      <c r="HEF19" s="1050"/>
      <c r="HEG19" s="1050"/>
      <c r="HEH19" s="1050"/>
      <c r="HEI19" s="1050"/>
      <c r="HEJ19" s="1050"/>
      <c r="HEK19" s="1050"/>
      <c r="HEL19" s="1050"/>
      <c r="HEM19" s="1050"/>
      <c r="HEN19" s="1050"/>
      <c r="HEO19" s="1050"/>
      <c r="HEP19" s="1050"/>
      <c r="HEQ19" s="1050"/>
      <c r="HER19" s="1050"/>
      <c r="HES19" s="1050"/>
      <c r="HET19" s="1050"/>
      <c r="HEU19" s="1050"/>
      <c r="HEV19" s="1050"/>
      <c r="HEW19" s="1050"/>
      <c r="HEX19" s="1050"/>
      <c r="HEY19" s="1050"/>
      <c r="HEZ19" s="1050"/>
      <c r="HFA19" s="1050"/>
      <c r="HFB19" s="1050"/>
      <c r="HFC19" s="1050"/>
      <c r="HFD19" s="1050"/>
      <c r="HFE19" s="1050"/>
      <c r="HFF19" s="1050"/>
      <c r="HFG19" s="1050"/>
      <c r="HFH19" s="1050"/>
      <c r="HFI19" s="1050"/>
      <c r="HFJ19" s="1050"/>
      <c r="HFK19" s="1050"/>
      <c r="HFL19" s="1050"/>
      <c r="HFM19" s="1050"/>
      <c r="HFN19" s="1050"/>
      <c r="HFO19" s="1050"/>
      <c r="HFP19" s="1050"/>
      <c r="HFQ19" s="1050"/>
      <c r="HFR19" s="1050"/>
      <c r="HFS19" s="1050"/>
      <c r="HFT19" s="1050"/>
      <c r="HFU19" s="1050"/>
      <c r="HFV19" s="1050"/>
      <c r="HFW19" s="1050"/>
      <c r="HFX19" s="1050"/>
      <c r="HFY19" s="1050"/>
      <c r="HFZ19" s="1050"/>
      <c r="HGA19" s="1050"/>
      <c r="HGB19" s="1050"/>
      <c r="HGC19" s="1050"/>
      <c r="HGD19" s="1050"/>
      <c r="HGE19" s="1050"/>
      <c r="HGF19" s="1050"/>
      <c r="HGG19" s="1050"/>
      <c r="HGH19" s="1050"/>
      <c r="HGI19" s="1050"/>
      <c r="HGJ19" s="1050"/>
      <c r="HGK19" s="1050"/>
      <c r="HGL19" s="1050"/>
      <c r="HGM19" s="1050"/>
      <c r="HGN19" s="1050"/>
      <c r="HGO19" s="1050"/>
      <c r="HGP19" s="1050"/>
      <c r="HGQ19" s="1050"/>
      <c r="HGR19" s="1050"/>
      <c r="HGS19" s="1050"/>
      <c r="HGT19" s="1050"/>
      <c r="HGU19" s="1050"/>
      <c r="HGV19" s="1050"/>
      <c r="HGW19" s="1050"/>
      <c r="HGX19" s="1050"/>
      <c r="HGY19" s="1050"/>
      <c r="HGZ19" s="1050"/>
      <c r="HHA19" s="1050"/>
      <c r="HHB19" s="1050"/>
      <c r="HHC19" s="1050"/>
      <c r="HHD19" s="1050"/>
      <c r="HHE19" s="1050"/>
      <c r="HHF19" s="1050"/>
      <c r="HHG19" s="1050"/>
      <c r="HHH19" s="1050"/>
      <c r="HHI19" s="1050"/>
      <c r="HHJ19" s="1050"/>
      <c r="HHK19" s="1050"/>
      <c r="HHL19" s="1050"/>
      <c r="HHM19" s="1050"/>
      <c r="HHN19" s="1050"/>
      <c r="HHO19" s="1050"/>
      <c r="HHP19" s="1050"/>
      <c r="HHQ19" s="1050"/>
      <c r="HHR19" s="1050"/>
      <c r="HHS19" s="1050"/>
      <c r="HHT19" s="1050"/>
      <c r="HHU19" s="1050"/>
      <c r="HHV19" s="1050"/>
      <c r="HHW19" s="1050"/>
      <c r="HHX19" s="1050"/>
      <c r="HHY19" s="1050"/>
      <c r="HHZ19" s="1050"/>
      <c r="HIA19" s="1050"/>
      <c r="HIB19" s="1050"/>
      <c r="HIC19" s="1050"/>
      <c r="HID19" s="1050"/>
      <c r="HIE19" s="1050"/>
      <c r="HIF19" s="1050"/>
      <c r="HIG19" s="1050"/>
      <c r="HIH19" s="1050"/>
      <c r="HII19" s="1050"/>
      <c r="HIJ19" s="1050"/>
      <c r="HIK19" s="1050"/>
      <c r="HIL19" s="1050"/>
      <c r="HIM19" s="1050"/>
      <c r="HIN19" s="1050"/>
      <c r="HIO19" s="1050"/>
      <c r="HIP19" s="1050"/>
      <c r="HIQ19" s="1050"/>
      <c r="HIR19" s="1050"/>
      <c r="HIS19" s="1050"/>
      <c r="HIT19" s="1050"/>
      <c r="HIU19" s="1050"/>
      <c r="HIV19" s="1050"/>
      <c r="HIW19" s="1050"/>
      <c r="HIX19" s="1050"/>
      <c r="HIY19" s="1050"/>
      <c r="HIZ19" s="1050"/>
      <c r="HJA19" s="1050"/>
      <c r="HJB19" s="1050"/>
      <c r="HJC19" s="1050"/>
      <c r="HJD19" s="1050"/>
      <c r="HJE19" s="1050"/>
      <c r="HJF19" s="1050"/>
      <c r="HJG19" s="1050"/>
      <c r="HJH19" s="1050"/>
      <c r="HJI19" s="1050"/>
      <c r="HJJ19" s="1050"/>
      <c r="HJK19" s="1050"/>
      <c r="HJL19" s="1050"/>
      <c r="HJM19" s="1050"/>
      <c r="HJN19" s="1050"/>
      <c r="HJO19" s="1050"/>
      <c r="HJP19" s="1050"/>
      <c r="HJQ19" s="1050"/>
      <c r="HJR19" s="1050"/>
      <c r="HJS19" s="1050"/>
      <c r="HJT19" s="1050"/>
      <c r="HJU19" s="1050"/>
      <c r="HJV19" s="1050"/>
      <c r="HJW19" s="1050"/>
      <c r="HJX19" s="1050"/>
      <c r="HJY19" s="1050"/>
      <c r="HJZ19" s="1050"/>
      <c r="HKA19" s="1050"/>
      <c r="HKB19" s="1050"/>
      <c r="HKC19" s="1050"/>
      <c r="HKD19" s="1050"/>
      <c r="HKE19" s="1050"/>
      <c r="HKF19" s="1050"/>
      <c r="HKG19" s="1050"/>
      <c r="HKH19" s="1050"/>
      <c r="HKI19" s="1050"/>
      <c r="HKJ19" s="1050"/>
      <c r="HKK19" s="1050"/>
      <c r="HKL19" s="1050"/>
      <c r="HKM19" s="1050"/>
      <c r="HKN19" s="1050"/>
      <c r="HKO19" s="1050"/>
      <c r="HKP19" s="1050"/>
      <c r="HKQ19" s="1050"/>
      <c r="HKR19" s="1050"/>
      <c r="HKS19" s="1050"/>
      <c r="HKT19" s="1050"/>
      <c r="HKU19" s="1050"/>
      <c r="HKV19" s="1050"/>
      <c r="HKW19" s="1050"/>
      <c r="HKX19" s="1050"/>
      <c r="HKY19" s="1050"/>
      <c r="HKZ19" s="1050"/>
      <c r="HLA19" s="1050"/>
      <c r="HLB19" s="1050"/>
      <c r="HLC19" s="1050"/>
      <c r="HLD19" s="1050"/>
      <c r="HLE19" s="1050"/>
      <c r="HLF19" s="1050"/>
      <c r="HLG19" s="1050"/>
      <c r="HLH19" s="1050"/>
      <c r="HLI19" s="1050"/>
      <c r="HLJ19" s="1050"/>
      <c r="HLK19" s="1050"/>
      <c r="HLL19" s="1050"/>
      <c r="HLM19" s="1050"/>
      <c r="HLN19" s="1050"/>
      <c r="HLO19" s="1050"/>
      <c r="HLP19" s="1050"/>
      <c r="HLQ19" s="1050"/>
      <c r="HLR19" s="1050"/>
      <c r="HLS19" s="1050"/>
      <c r="HLT19" s="1050"/>
      <c r="HLU19" s="1050"/>
      <c r="HLV19" s="1050"/>
      <c r="HLW19" s="1050"/>
      <c r="HLX19" s="1050"/>
      <c r="HLY19" s="1050"/>
      <c r="HLZ19" s="1050"/>
      <c r="HMA19" s="1050"/>
      <c r="HMB19" s="1050"/>
      <c r="HMC19" s="1050"/>
      <c r="HMD19" s="1050"/>
      <c r="HME19" s="1050"/>
      <c r="HMF19" s="1050"/>
      <c r="HMG19" s="1050"/>
      <c r="HMH19" s="1050"/>
      <c r="HMI19" s="1050"/>
      <c r="HMJ19" s="1050"/>
      <c r="HMK19" s="1050"/>
      <c r="HML19" s="1050"/>
      <c r="HMM19" s="1050"/>
      <c r="HMN19" s="1050"/>
      <c r="HMO19" s="1050"/>
      <c r="HMP19" s="1050"/>
      <c r="HMQ19" s="1050"/>
      <c r="HMR19" s="1050"/>
      <c r="HMS19" s="1050"/>
      <c r="HMT19" s="1050"/>
      <c r="HMU19" s="1050"/>
      <c r="HMV19" s="1050"/>
      <c r="HMW19" s="1050"/>
      <c r="HMX19" s="1050"/>
      <c r="HMY19" s="1050"/>
      <c r="HMZ19" s="1050"/>
      <c r="HNA19" s="1050"/>
      <c r="HNB19" s="1050"/>
      <c r="HNC19" s="1050"/>
      <c r="HND19" s="1050"/>
      <c r="HNE19" s="1050"/>
      <c r="HNF19" s="1050"/>
      <c r="HNG19" s="1050"/>
      <c r="HNH19" s="1050"/>
      <c r="HNI19" s="1050"/>
      <c r="HNJ19" s="1050"/>
      <c r="HNK19" s="1050"/>
      <c r="HNL19" s="1050"/>
      <c r="HNM19" s="1050"/>
      <c r="HNN19" s="1050"/>
      <c r="HNO19" s="1050"/>
      <c r="HNP19" s="1050"/>
      <c r="HNQ19" s="1050"/>
      <c r="HNR19" s="1050"/>
      <c r="HNS19" s="1050"/>
      <c r="HNT19" s="1050"/>
      <c r="HNU19" s="1050"/>
      <c r="HNV19" s="1050"/>
      <c r="HNW19" s="1050"/>
      <c r="HNX19" s="1050"/>
      <c r="HNY19" s="1050"/>
      <c r="HNZ19" s="1050"/>
      <c r="HOA19" s="1050"/>
      <c r="HOB19" s="1050"/>
      <c r="HOC19" s="1050"/>
      <c r="HOD19" s="1050"/>
      <c r="HOE19" s="1050"/>
      <c r="HOF19" s="1050"/>
      <c r="HOG19" s="1050"/>
      <c r="HOH19" s="1050"/>
      <c r="HOI19" s="1050"/>
      <c r="HOJ19" s="1050"/>
      <c r="HOK19" s="1050"/>
      <c r="HOL19" s="1050"/>
      <c r="HOM19" s="1050"/>
      <c r="HON19" s="1050"/>
      <c r="HOO19" s="1050"/>
      <c r="HOP19" s="1050"/>
      <c r="HOQ19" s="1050"/>
      <c r="HOR19" s="1050"/>
      <c r="HOS19" s="1050"/>
      <c r="HOT19" s="1050"/>
      <c r="HOU19" s="1050"/>
      <c r="HOV19" s="1050"/>
      <c r="HOW19" s="1050"/>
      <c r="HOX19" s="1050"/>
      <c r="HOY19" s="1050"/>
      <c r="HOZ19" s="1050"/>
      <c r="HPA19" s="1050"/>
      <c r="HPB19" s="1050"/>
      <c r="HPC19" s="1050"/>
      <c r="HPD19" s="1050"/>
      <c r="HPE19" s="1050"/>
      <c r="HPF19" s="1050"/>
      <c r="HPG19" s="1050"/>
      <c r="HPH19" s="1050"/>
      <c r="HPI19" s="1050"/>
      <c r="HPJ19" s="1050"/>
      <c r="HPK19" s="1050"/>
      <c r="HPL19" s="1050"/>
      <c r="HPM19" s="1050"/>
      <c r="HPN19" s="1050"/>
      <c r="HPO19" s="1050"/>
      <c r="HPP19" s="1050"/>
      <c r="HPQ19" s="1050"/>
      <c r="HPR19" s="1050"/>
      <c r="HPS19" s="1050"/>
      <c r="HPT19" s="1050"/>
      <c r="HPU19" s="1050"/>
      <c r="HPV19" s="1050"/>
      <c r="HPW19" s="1050"/>
      <c r="HPX19" s="1050"/>
      <c r="HPY19" s="1050"/>
      <c r="HPZ19" s="1050"/>
      <c r="HQA19" s="1050"/>
      <c r="HQB19" s="1050"/>
      <c r="HQC19" s="1050"/>
      <c r="HQD19" s="1050"/>
      <c r="HQE19" s="1050"/>
      <c r="HQF19" s="1050"/>
      <c r="HQG19" s="1050"/>
      <c r="HQH19" s="1050"/>
      <c r="HQI19" s="1050"/>
      <c r="HQJ19" s="1050"/>
      <c r="HQK19" s="1050"/>
      <c r="HQL19" s="1050"/>
      <c r="HQM19" s="1050"/>
      <c r="HQN19" s="1050"/>
      <c r="HQO19" s="1050"/>
      <c r="HQP19" s="1050"/>
      <c r="HQQ19" s="1050"/>
      <c r="HQR19" s="1050"/>
      <c r="HQS19" s="1050"/>
      <c r="HQT19" s="1050"/>
      <c r="HQU19" s="1050"/>
      <c r="HQV19" s="1050"/>
      <c r="HQW19" s="1050"/>
      <c r="HQX19" s="1050"/>
      <c r="HQY19" s="1050"/>
      <c r="HQZ19" s="1050"/>
      <c r="HRA19" s="1050"/>
      <c r="HRB19" s="1050"/>
      <c r="HRC19" s="1050"/>
      <c r="HRD19" s="1050"/>
      <c r="HRE19" s="1050"/>
      <c r="HRF19" s="1050"/>
      <c r="HRG19" s="1050"/>
      <c r="HRH19" s="1050"/>
      <c r="HRI19" s="1050"/>
      <c r="HRJ19" s="1050"/>
      <c r="HRK19" s="1050"/>
      <c r="HRL19" s="1050"/>
      <c r="HRM19" s="1050"/>
      <c r="HRN19" s="1050"/>
      <c r="HRO19" s="1050"/>
      <c r="HRP19" s="1050"/>
      <c r="HRQ19" s="1050"/>
      <c r="HRR19" s="1050"/>
      <c r="HRS19" s="1050"/>
      <c r="HRT19" s="1050"/>
      <c r="HRU19" s="1050"/>
      <c r="HRV19" s="1050"/>
      <c r="HRW19" s="1050"/>
      <c r="HRX19" s="1050"/>
      <c r="HRY19" s="1050"/>
      <c r="HRZ19" s="1050"/>
      <c r="HSA19" s="1050"/>
      <c r="HSB19" s="1050"/>
      <c r="HSC19" s="1050"/>
      <c r="HSD19" s="1050"/>
      <c r="HSE19" s="1050"/>
      <c r="HSF19" s="1050"/>
      <c r="HSG19" s="1050"/>
      <c r="HSH19" s="1050"/>
      <c r="HSI19" s="1050"/>
      <c r="HSJ19" s="1050"/>
      <c r="HSK19" s="1050"/>
      <c r="HSL19" s="1050"/>
      <c r="HSM19" s="1050"/>
      <c r="HSN19" s="1050"/>
      <c r="HSO19" s="1050"/>
      <c r="HSP19" s="1050"/>
      <c r="HSQ19" s="1050"/>
      <c r="HSR19" s="1050"/>
      <c r="HSS19" s="1050"/>
      <c r="HST19" s="1050"/>
      <c r="HSU19" s="1050"/>
      <c r="HSV19" s="1050"/>
      <c r="HSW19" s="1050"/>
      <c r="HSX19" s="1050"/>
      <c r="HSY19" s="1050"/>
      <c r="HSZ19" s="1050"/>
      <c r="HTA19" s="1050"/>
      <c r="HTB19" s="1050"/>
      <c r="HTC19" s="1050"/>
      <c r="HTD19" s="1050"/>
      <c r="HTE19" s="1050"/>
      <c r="HTF19" s="1050"/>
      <c r="HTG19" s="1050"/>
      <c r="HTH19" s="1050"/>
      <c r="HTI19" s="1050"/>
      <c r="HTJ19" s="1050"/>
      <c r="HTK19" s="1050"/>
      <c r="HTL19" s="1050"/>
      <c r="HTM19" s="1050"/>
      <c r="HTN19" s="1050"/>
      <c r="HTO19" s="1050"/>
      <c r="HTP19" s="1050"/>
      <c r="HTQ19" s="1050"/>
      <c r="HTR19" s="1050"/>
      <c r="HTS19" s="1050"/>
      <c r="HTT19" s="1050"/>
      <c r="HTU19" s="1050"/>
      <c r="HTV19" s="1050"/>
      <c r="HTW19" s="1050"/>
      <c r="HTX19" s="1050"/>
      <c r="HTY19" s="1050"/>
      <c r="HTZ19" s="1050"/>
      <c r="HUA19" s="1050"/>
      <c r="HUB19" s="1050"/>
      <c r="HUC19" s="1050"/>
      <c r="HUD19" s="1050"/>
      <c r="HUE19" s="1050"/>
      <c r="HUF19" s="1050"/>
      <c r="HUG19" s="1050"/>
      <c r="HUH19" s="1050"/>
      <c r="HUI19" s="1050"/>
      <c r="HUJ19" s="1050"/>
      <c r="HUK19" s="1050"/>
      <c r="HUL19" s="1050"/>
      <c r="HUM19" s="1050"/>
      <c r="HUN19" s="1050"/>
      <c r="HUO19" s="1050"/>
      <c r="HUP19" s="1050"/>
      <c r="HUQ19" s="1050"/>
      <c r="HUR19" s="1050"/>
      <c r="HUS19" s="1050"/>
      <c r="HUT19" s="1050"/>
      <c r="HUU19" s="1050"/>
      <c r="HUV19" s="1050"/>
      <c r="HUW19" s="1050"/>
      <c r="HUX19" s="1050"/>
      <c r="HUY19" s="1050"/>
      <c r="HUZ19" s="1050"/>
      <c r="HVA19" s="1050"/>
      <c r="HVB19" s="1050"/>
      <c r="HVC19" s="1050"/>
      <c r="HVD19" s="1050"/>
      <c r="HVE19" s="1050"/>
      <c r="HVF19" s="1050"/>
      <c r="HVG19" s="1050"/>
      <c r="HVH19" s="1050"/>
      <c r="HVI19" s="1050"/>
      <c r="HVJ19" s="1050"/>
      <c r="HVK19" s="1050"/>
      <c r="HVL19" s="1050"/>
      <c r="HVM19" s="1050"/>
      <c r="HVN19" s="1050"/>
      <c r="HVO19" s="1050"/>
      <c r="HVP19" s="1050"/>
      <c r="HVQ19" s="1050"/>
      <c r="HVR19" s="1050"/>
      <c r="HVS19" s="1050"/>
      <c r="HVT19" s="1050"/>
      <c r="HVU19" s="1050"/>
      <c r="HVV19" s="1050"/>
      <c r="HVW19" s="1050"/>
      <c r="HVX19" s="1050"/>
      <c r="HVY19" s="1050"/>
      <c r="HVZ19" s="1050"/>
      <c r="HWA19" s="1050"/>
      <c r="HWB19" s="1050"/>
      <c r="HWC19" s="1050"/>
      <c r="HWD19" s="1050"/>
      <c r="HWE19" s="1050"/>
      <c r="HWF19" s="1050"/>
      <c r="HWG19" s="1050"/>
      <c r="HWH19" s="1050"/>
      <c r="HWI19" s="1050"/>
      <c r="HWJ19" s="1050"/>
      <c r="HWK19" s="1050"/>
      <c r="HWL19" s="1050"/>
      <c r="HWM19" s="1050"/>
      <c r="HWN19" s="1050"/>
      <c r="HWO19" s="1050"/>
      <c r="HWP19" s="1050"/>
      <c r="HWQ19" s="1050"/>
      <c r="HWR19" s="1050"/>
      <c r="HWS19" s="1050"/>
      <c r="HWT19" s="1050"/>
      <c r="HWU19" s="1050"/>
      <c r="HWV19" s="1050"/>
      <c r="HWW19" s="1050"/>
      <c r="HWX19" s="1050"/>
      <c r="HWY19" s="1050"/>
      <c r="HWZ19" s="1050"/>
      <c r="HXA19" s="1050"/>
      <c r="HXB19" s="1050"/>
      <c r="HXC19" s="1050"/>
      <c r="HXD19" s="1050"/>
      <c r="HXE19" s="1050"/>
      <c r="HXF19" s="1050"/>
      <c r="HXG19" s="1050"/>
      <c r="HXH19" s="1050"/>
      <c r="HXI19" s="1050"/>
      <c r="HXJ19" s="1050"/>
      <c r="HXK19" s="1050"/>
      <c r="HXL19" s="1050"/>
      <c r="HXM19" s="1050"/>
      <c r="HXN19" s="1050"/>
      <c r="HXO19" s="1050"/>
      <c r="HXP19" s="1050"/>
      <c r="HXQ19" s="1050"/>
      <c r="HXR19" s="1050"/>
      <c r="HXS19" s="1050"/>
      <c r="HXT19" s="1050"/>
      <c r="HXU19" s="1050"/>
      <c r="HXV19" s="1050"/>
      <c r="HXW19" s="1050"/>
      <c r="HXX19" s="1050"/>
      <c r="HXY19" s="1050"/>
      <c r="HXZ19" s="1050"/>
      <c r="HYA19" s="1050"/>
      <c r="HYB19" s="1050"/>
      <c r="HYC19" s="1050"/>
      <c r="HYD19" s="1050"/>
      <c r="HYE19" s="1050"/>
      <c r="HYF19" s="1050"/>
      <c r="HYG19" s="1050"/>
      <c r="HYH19" s="1050"/>
      <c r="HYI19" s="1050"/>
      <c r="HYJ19" s="1050"/>
      <c r="HYK19" s="1050"/>
      <c r="HYL19" s="1050"/>
      <c r="HYM19" s="1050"/>
      <c r="HYN19" s="1050"/>
      <c r="HYO19" s="1050"/>
      <c r="HYP19" s="1050"/>
      <c r="HYQ19" s="1050"/>
      <c r="HYR19" s="1050"/>
      <c r="HYS19" s="1050"/>
      <c r="HYT19" s="1050"/>
      <c r="HYU19" s="1050"/>
      <c r="HYV19" s="1050"/>
      <c r="HYW19" s="1050"/>
      <c r="HYX19" s="1050"/>
      <c r="HYY19" s="1050"/>
      <c r="HYZ19" s="1050"/>
      <c r="HZA19" s="1050"/>
      <c r="HZB19" s="1050"/>
      <c r="HZC19" s="1050"/>
      <c r="HZD19" s="1050"/>
      <c r="HZE19" s="1050"/>
      <c r="HZF19" s="1050"/>
      <c r="HZG19" s="1050"/>
      <c r="HZH19" s="1050"/>
      <c r="HZI19" s="1050"/>
      <c r="HZJ19" s="1050"/>
      <c r="HZK19" s="1050"/>
      <c r="HZL19" s="1050"/>
      <c r="HZM19" s="1050"/>
      <c r="HZN19" s="1050"/>
      <c r="HZO19" s="1050"/>
      <c r="HZP19" s="1050"/>
      <c r="HZQ19" s="1050"/>
      <c r="HZR19" s="1050"/>
      <c r="HZS19" s="1050"/>
      <c r="HZT19" s="1050"/>
      <c r="HZU19" s="1050"/>
      <c r="HZV19" s="1050"/>
      <c r="HZW19" s="1050"/>
      <c r="HZX19" s="1050"/>
      <c r="HZY19" s="1050"/>
      <c r="HZZ19" s="1050"/>
      <c r="IAA19" s="1050"/>
      <c r="IAB19" s="1050"/>
      <c r="IAC19" s="1050"/>
      <c r="IAD19" s="1050"/>
      <c r="IAE19" s="1050"/>
      <c r="IAF19" s="1050"/>
      <c r="IAG19" s="1050"/>
      <c r="IAH19" s="1050"/>
      <c r="IAI19" s="1050"/>
      <c r="IAJ19" s="1050"/>
      <c r="IAK19" s="1050"/>
      <c r="IAL19" s="1050"/>
      <c r="IAM19" s="1050"/>
      <c r="IAN19" s="1050"/>
      <c r="IAO19" s="1050"/>
      <c r="IAP19" s="1050"/>
      <c r="IAQ19" s="1050"/>
      <c r="IAR19" s="1050"/>
      <c r="IAS19" s="1050"/>
      <c r="IAT19" s="1050"/>
      <c r="IAU19" s="1050"/>
      <c r="IAV19" s="1050"/>
      <c r="IAW19" s="1050"/>
      <c r="IAX19" s="1050"/>
      <c r="IAY19" s="1050"/>
      <c r="IAZ19" s="1050"/>
      <c r="IBA19" s="1050"/>
      <c r="IBB19" s="1050"/>
      <c r="IBC19" s="1050"/>
      <c r="IBD19" s="1050"/>
      <c r="IBE19" s="1050"/>
      <c r="IBF19" s="1050"/>
      <c r="IBG19" s="1050"/>
      <c r="IBH19" s="1050"/>
      <c r="IBI19" s="1050"/>
      <c r="IBJ19" s="1050"/>
      <c r="IBK19" s="1050"/>
      <c r="IBL19" s="1050"/>
      <c r="IBM19" s="1050"/>
      <c r="IBN19" s="1050"/>
      <c r="IBO19" s="1050"/>
      <c r="IBP19" s="1050"/>
      <c r="IBQ19" s="1050"/>
      <c r="IBR19" s="1050"/>
      <c r="IBS19" s="1050"/>
      <c r="IBT19" s="1050"/>
      <c r="IBU19" s="1050"/>
      <c r="IBV19" s="1050"/>
      <c r="IBW19" s="1050"/>
      <c r="IBX19" s="1050"/>
      <c r="IBY19" s="1050"/>
      <c r="IBZ19" s="1050"/>
      <c r="ICA19" s="1050"/>
      <c r="ICB19" s="1050"/>
      <c r="ICC19" s="1050"/>
      <c r="ICD19" s="1050"/>
      <c r="ICE19" s="1050"/>
      <c r="ICF19" s="1050"/>
      <c r="ICG19" s="1050"/>
      <c r="ICH19" s="1050"/>
      <c r="ICI19" s="1050"/>
      <c r="ICJ19" s="1050"/>
      <c r="ICK19" s="1050"/>
      <c r="ICL19" s="1050"/>
      <c r="ICM19" s="1050"/>
      <c r="ICN19" s="1050"/>
      <c r="ICO19" s="1050"/>
      <c r="ICP19" s="1050"/>
      <c r="ICQ19" s="1050"/>
      <c r="ICR19" s="1050"/>
      <c r="ICS19" s="1050"/>
      <c r="ICT19" s="1050"/>
      <c r="ICU19" s="1050"/>
      <c r="ICV19" s="1050"/>
      <c r="ICW19" s="1050"/>
      <c r="ICX19" s="1050"/>
      <c r="ICY19" s="1050"/>
      <c r="ICZ19" s="1050"/>
      <c r="IDA19" s="1050"/>
      <c r="IDB19" s="1050"/>
      <c r="IDC19" s="1050"/>
      <c r="IDD19" s="1050"/>
      <c r="IDE19" s="1050"/>
      <c r="IDF19" s="1050"/>
      <c r="IDG19" s="1050"/>
      <c r="IDH19" s="1050"/>
      <c r="IDI19" s="1050"/>
      <c r="IDJ19" s="1050"/>
      <c r="IDK19" s="1050"/>
      <c r="IDL19" s="1050"/>
      <c r="IDM19" s="1050"/>
      <c r="IDN19" s="1050"/>
      <c r="IDO19" s="1050"/>
      <c r="IDP19" s="1050"/>
      <c r="IDQ19" s="1050"/>
      <c r="IDR19" s="1050"/>
      <c r="IDS19" s="1050"/>
      <c r="IDT19" s="1050"/>
      <c r="IDU19" s="1050"/>
      <c r="IDV19" s="1050"/>
      <c r="IDW19" s="1050"/>
      <c r="IDX19" s="1050"/>
      <c r="IDY19" s="1050"/>
      <c r="IDZ19" s="1050"/>
      <c r="IEA19" s="1050"/>
      <c r="IEB19" s="1050"/>
      <c r="IEC19" s="1050"/>
      <c r="IED19" s="1050"/>
      <c r="IEE19" s="1050"/>
      <c r="IEF19" s="1050"/>
      <c r="IEG19" s="1050"/>
      <c r="IEH19" s="1050"/>
      <c r="IEI19" s="1050"/>
      <c r="IEJ19" s="1050"/>
      <c r="IEK19" s="1050"/>
      <c r="IEL19" s="1050"/>
      <c r="IEM19" s="1050"/>
      <c r="IEN19" s="1050"/>
      <c r="IEO19" s="1050"/>
      <c r="IEP19" s="1050"/>
      <c r="IEQ19" s="1050"/>
      <c r="IER19" s="1050"/>
      <c r="IES19" s="1050"/>
      <c r="IET19" s="1050"/>
      <c r="IEU19" s="1050"/>
      <c r="IEV19" s="1050"/>
      <c r="IEW19" s="1050"/>
      <c r="IEX19" s="1050"/>
      <c r="IEY19" s="1050"/>
      <c r="IEZ19" s="1050"/>
      <c r="IFA19" s="1050"/>
      <c r="IFB19" s="1050"/>
      <c r="IFC19" s="1050"/>
      <c r="IFD19" s="1050"/>
      <c r="IFE19" s="1050"/>
      <c r="IFF19" s="1050"/>
      <c r="IFG19" s="1050"/>
      <c r="IFH19" s="1050"/>
      <c r="IFI19" s="1050"/>
      <c r="IFJ19" s="1050"/>
      <c r="IFK19" s="1050"/>
      <c r="IFL19" s="1050"/>
      <c r="IFM19" s="1050"/>
      <c r="IFN19" s="1050"/>
      <c r="IFO19" s="1050"/>
      <c r="IFP19" s="1050"/>
      <c r="IFQ19" s="1050"/>
      <c r="IFR19" s="1050"/>
      <c r="IFS19" s="1050"/>
      <c r="IFT19" s="1050"/>
      <c r="IFU19" s="1050"/>
      <c r="IFV19" s="1050"/>
      <c r="IFW19" s="1050"/>
      <c r="IFX19" s="1050"/>
      <c r="IFY19" s="1050"/>
      <c r="IFZ19" s="1050"/>
      <c r="IGA19" s="1050"/>
      <c r="IGB19" s="1050"/>
      <c r="IGC19" s="1050"/>
      <c r="IGD19" s="1050"/>
      <c r="IGE19" s="1050"/>
      <c r="IGF19" s="1050"/>
      <c r="IGG19" s="1050"/>
      <c r="IGH19" s="1050"/>
      <c r="IGI19" s="1050"/>
      <c r="IGJ19" s="1050"/>
      <c r="IGK19" s="1050"/>
      <c r="IGL19" s="1050"/>
      <c r="IGM19" s="1050"/>
      <c r="IGN19" s="1050"/>
      <c r="IGO19" s="1050"/>
      <c r="IGP19" s="1050"/>
      <c r="IGQ19" s="1050"/>
      <c r="IGR19" s="1050"/>
      <c r="IGS19" s="1050"/>
      <c r="IGT19" s="1050"/>
      <c r="IGU19" s="1050"/>
      <c r="IGV19" s="1050"/>
      <c r="IGW19" s="1050"/>
      <c r="IGX19" s="1050"/>
      <c r="IGY19" s="1050"/>
      <c r="IGZ19" s="1050"/>
      <c r="IHA19" s="1050"/>
      <c r="IHB19" s="1050"/>
      <c r="IHC19" s="1050"/>
      <c r="IHD19" s="1050"/>
      <c r="IHE19" s="1050"/>
      <c r="IHF19" s="1050"/>
      <c r="IHG19" s="1050"/>
      <c r="IHH19" s="1050"/>
      <c r="IHI19" s="1050"/>
      <c r="IHJ19" s="1050"/>
      <c r="IHK19" s="1050"/>
      <c r="IHL19" s="1050"/>
      <c r="IHM19" s="1050"/>
      <c r="IHN19" s="1050"/>
      <c r="IHO19" s="1050"/>
      <c r="IHP19" s="1050"/>
      <c r="IHQ19" s="1050"/>
      <c r="IHR19" s="1050"/>
      <c r="IHS19" s="1050"/>
      <c r="IHT19" s="1050"/>
      <c r="IHU19" s="1050"/>
      <c r="IHV19" s="1050"/>
      <c r="IHW19" s="1050"/>
      <c r="IHX19" s="1050"/>
      <c r="IHY19" s="1050"/>
      <c r="IHZ19" s="1050"/>
      <c r="IIA19" s="1050"/>
      <c r="IIB19" s="1050"/>
      <c r="IIC19" s="1050"/>
      <c r="IID19" s="1050"/>
      <c r="IIE19" s="1050"/>
      <c r="IIF19" s="1050"/>
      <c r="IIG19" s="1050"/>
      <c r="IIH19" s="1050"/>
      <c r="III19" s="1050"/>
      <c r="IIJ19" s="1050"/>
      <c r="IIK19" s="1050"/>
      <c r="IIL19" s="1050"/>
      <c r="IIM19" s="1050"/>
      <c r="IIN19" s="1050"/>
      <c r="IIO19" s="1050"/>
      <c r="IIP19" s="1050"/>
      <c r="IIQ19" s="1050"/>
      <c r="IIR19" s="1050"/>
      <c r="IIS19" s="1050"/>
      <c r="IIT19" s="1050"/>
      <c r="IIU19" s="1050"/>
      <c r="IIV19" s="1050"/>
      <c r="IIW19" s="1050"/>
      <c r="IIX19" s="1050"/>
      <c r="IIY19" s="1050"/>
      <c r="IIZ19" s="1050"/>
      <c r="IJA19" s="1050"/>
      <c r="IJB19" s="1050"/>
      <c r="IJC19" s="1050"/>
      <c r="IJD19" s="1050"/>
      <c r="IJE19" s="1050"/>
      <c r="IJF19" s="1050"/>
      <c r="IJG19" s="1050"/>
      <c r="IJH19" s="1050"/>
      <c r="IJI19" s="1050"/>
      <c r="IJJ19" s="1050"/>
      <c r="IJK19" s="1050"/>
      <c r="IJL19" s="1050"/>
      <c r="IJM19" s="1050"/>
      <c r="IJN19" s="1050"/>
      <c r="IJO19" s="1050"/>
      <c r="IJP19" s="1050"/>
      <c r="IJQ19" s="1050"/>
      <c r="IJR19" s="1050"/>
      <c r="IJS19" s="1050"/>
      <c r="IJT19" s="1050"/>
      <c r="IJU19" s="1050"/>
      <c r="IJV19" s="1050"/>
      <c r="IJW19" s="1050"/>
      <c r="IJX19" s="1050"/>
      <c r="IJY19" s="1050"/>
      <c r="IJZ19" s="1050"/>
      <c r="IKA19" s="1050"/>
      <c r="IKB19" s="1050"/>
      <c r="IKC19" s="1050"/>
      <c r="IKD19" s="1050"/>
      <c r="IKE19" s="1050"/>
      <c r="IKF19" s="1050"/>
      <c r="IKG19" s="1050"/>
      <c r="IKH19" s="1050"/>
      <c r="IKI19" s="1050"/>
      <c r="IKJ19" s="1050"/>
      <c r="IKK19" s="1050"/>
      <c r="IKL19" s="1050"/>
      <c r="IKM19" s="1050"/>
      <c r="IKN19" s="1050"/>
      <c r="IKO19" s="1050"/>
      <c r="IKP19" s="1050"/>
      <c r="IKQ19" s="1050"/>
      <c r="IKR19" s="1050"/>
      <c r="IKS19" s="1050"/>
      <c r="IKT19" s="1050"/>
      <c r="IKU19" s="1050"/>
      <c r="IKV19" s="1050"/>
      <c r="IKW19" s="1050"/>
      <c r="IKX19" s="1050"/>
      <c r="IKY19" s="1050"/>
      <c r="IKZ19" s="1050"/>
      <c r="ILA19" s="1050"/>
      <c r="ILB19" s="1050"/>
      <c r="ILC19" s="1050"/>
      <c r="ILD19" s="1050"/>
      <c r="ILE19" s="1050"/>
      <c r="ILF19" s="1050"/>
      <c r="ILG19" s="1050"/>
      <c r="ILH19" s="1050"/>
      <c r="ILI19" s="1050"/>
      <c r="ILJ19" s="1050"/>
      <c r="ILK19" s="1050"/>
      <c r="ILL19" s="1050"/>
      <c r="ILM19" s="1050"/>
      <c r="ILN19" s="1050"/>
      <c r="ILO19" s="1050"/>
      <c r="ILP19" s="1050"/>
      <c r="ILQ19" s="1050"/>
      <c r="ILR19" s="1050"/>
      <c r="ILS19" s="1050"/>
      <c r="ILT19" s="1050"/>
      <c r="ILU19" s="1050"/>
      <c r="ILV19" s="1050"/>
      <c r="ILW19" s="1050"/>
      <c r="ILX19" s="1050"/>
      <c r="ILY19" s="1050"/>
      <c r="ILZ19" s="1050"/>
      <c r="IMA19" s="1050"/>
      <c r="IMB19" s="1050"/>
      <c r="IMC19" s="1050"/>
      <c r="IMD19" s="1050"/>
      <c r="IME19" s="1050"/>
      <c r="IMF19" s="1050"/>
      <c r="IMG19" s="1050"/>
      <c r="IMH19" s="1050"/>
      <c r="IMI19" s="1050"/>
      <c r="IMJ19" s="1050"/>
      <c r="IMK19" s="1050"/>
      <c r="IML19" s="1050"/>
      <c r="IMM19" s="1050"/>
      <c r="IMN19" s="1050"/>
      <c r="IMO19" s="1050"/>
      <c r="IMP19" s="1050"/>
      <c r="IMQ19" s="1050"/>
      <c r="IMR19" s="1050"/>
      <c r="IMS19" s="1050"/>
      <c r="IMT19" s="1050"/>
      <c r="IMU19" s="1050"/>
      <c r="IMV19" s="1050"/>
      <c r="IMW19" s="1050"/>
      <c r="IMX19" s="1050"/>
      <c r="IMY19" s="1050"/>
      <c r="IMZ19" s="1050"/>
      <c r="INA19" s="1050"/>
      <c r="INB19" s="1050"/>
      <c r="INC19" s="1050"/>
      <c r="IND19" s="1050"/>
      <c r="INE19" s="1050"/>
      <c r="INF19" s="1050"/>
      <c r="ING19" s="1050"/>
      <c r="INH19" s="1050"/>
      <c r="INI19" s="1050"/>
      <c r="INJ19" s="1050"/>
      <c r="INK19" s="1050"/>
      <c r="INL19" s="1050"/>
      <c r="INM19" s="1050"/>
      <c r="INN19" s="1050"/>
      <c r="INO19" s="1050"/>
      <c r="INP19" s="1050"/>
      <c r="INQ19" s="1050"/>
      <c r="INR19" s="1050"/>
      <c r="INS19" s="1050"/>
      <c r="INT19" s="1050"/>
      <c r="INU19" s="1050"/>
      <c r="INV19" s="1050"/>
      <c r="INW19" s="1050"/>
      <c r="INX19" s="1050"/>
      <c r="INY19" s="1050"/>
      <c r="INZ19" s="1050"/>
      <c r="IOA19" s="1050"/>
      <c r="IOB19" s="1050"/>
      <c r="IOC19" s="1050"/>
      <c r="IOD19" s="1050"/>
      <c r="IOE19" s="1050"/>
      <c r="IOF19" s="1050"/>
      <c r="IOG19" s="1050"/>
      <c r="IOH19" s="1050"/>
      <c r="IOI19" s="1050"/>
      <c r="IOJ19" s="1050"/>
      <c r="IOK19" s="1050"/>
      <c r="IOL19" s="1050"/>
      <c r="IOM19" s="1050"/>
      <c r="ION19" s="1050"/>
      <c r="IOO19" s="1050"/>
      <c r="IOP19" s="1050"/>
      <c r="IOQ19" s="1050"/>
      <c r="IOR19" s="1050"/>
      <c r="IOS19" s="1050"/>
      <c r="IOT19" s="1050"/>
      <c r="IOU19" s="1050"/>
      <c r="IOV19" s="1050"/>
      <c r="IOW19" s="1050"/>
      <c r="IOX19" s="1050"/>
      <c r="IOY19" s="1050"/>
      <c r="IOZ19" s="1050"/>
      <c r="IPA19" s="1050"/>
      <c r="IPB19" s="1050"/>
      <c r="IPC19" s="1050"/>
      <c r="IPD19" s="1050"/>
      <c r="IPE19" s="1050"/>
      <c r="IPF19" s="1050"/>
      <c r="IPG19" s="1050"/>
      <c r="IPH19" s="1050"/>
      <c r="IPI19" s="1050"/>
      <c r="IPJ19" s="1050"/>
      <c r="IPK19" s="1050"/>
      <c r="IPL19" s="1050"/>
      <c r="IPM19" s="1050"/>
      <c r="IPN19" s="1050"/>
      <c r="IPO19" s="1050"/>
      <c r="IPP19" s="1050"/>
      <c r="IPQ19" s="1050"/>
      <c r="IPR19" s="1050"/>
      <c r="IPS19" s="1050"/>
      <c r="IPT19" s="1050"/>
      <c r="IPU19" s="1050"/>
      <c r="IPV19" s="1050"/>
      <c r="IPW19" s="1050"/>
      <c r="IPX19" s="1050"/>
      <c r="IPY19" s="1050"/>
      <c r="IPZ19" s="1050"/>
      <c r="IQA19" s="1050"/>
      <c r="IQB19" s="1050"/>
      <c r="IQC19" s="1050"/>
      <c r="IQD19" s="1050"/>
      <c r="IQE19" s="1050"/>
      <c r="IQF19" s="1050"/>
      <c r="IQG19" s="1050"/>
      <c r="IQH19" s="1050"/>
      <c r="IQI19" s="1050"/>
      <c r="IQJ19" s="1050"/>
      <c r="IQK19" s="1050"/>
      <c r="IQL19" s="1050"/>
      <c r="IQM19" s="1050"/>
      <c r="IQN19" s="1050"/>
      <c r="IQO19" s="1050"/>
      <c r="IQP19" s="1050"/>
      <c r="IQQ19" s="1050"/>
      <c r="IQR19" s="1050"/>
      <c r="IQS19" s="1050"/>
      <c r="IQT19" s="1050"/>
      <c r="IQU19" s="1050"/>
      <c r="IQV19" s="1050"/>
      <c r="IQW19" s="1050"/>
      <c r="IQX19" s="1050"/>
      <c r="IQY19" s="1050"/>
      <c r="IQZ19" s="1050"/>
      <c r="IRA19" s="1050"/>
      <c r="IRB19" s="1050"/>
      <c r="IRC19" s="1050"/>
      <c r="IRD19" s="1050"/>
      <c r="IRE19" s="1050"/>
      <c r="IRF19" s="1050"/>
      <c r="IRG19" s="1050"/>
      <c r="IRH19" s="1050"/>
      <c r="IRI19" s="1050"/>
      <c r="IRJ19" s="1050"/>
      <c r="IRK19" s="1050"/>
      <c r="IRL19" s="1050"/>
      <c r="IRM19" s="1050"/>
      <c r="IRN19" s="1050"/>
      <c r="IRO19" s="1050"/>
      <c r="IRP19" s="1050"/>
      <c r="IRQ19" s="1050"/>
      <c r="IRR19" s="1050"/>
      <c r="IRS19" s="1050"/>
      <c r="IRT19" s="1050"/>
      <c r="IRU19" s="1050"/>
      <c r="IRV19" s="1050"/>
      <c r="IRW19" s="1050"/>
      <c r="IRX19" s="1050"/>
      <c r="IRY19" s="1050"/>
      <c r="IRZ19" s="1050"/>
      <c r="ISA19" s="1050"/>
      <c r="ISB19" s="1050"/>
      <c r="ISC19" s="1050"/>
      <c r="ISD19" s="1050"/>
      <c r="ISE19" s="1050"/>
      <c r="ISF19" s="1050"/>
      <c r="ISG19" s="1050"/>
      <c r="ISH19" s="1050"/>
      <c r="ISI19" s="1050"/>
      <c r="ISJ19" s="1050"/>
      <c r="ISK19" s="1050"/>
      <c r="ISL19" s="1050"/>
      <c r="ISM19" s="1050"/>
      <c r="ISN19" s="1050"/>
      <c r="ISO19" s="1050"/>
      <c r="ISP19" s="1050"/>
      <c r="ISQ19" s="1050"/>
      <c r="ISR19" s="1050"/>
      <c r="ISS19" s="1050"/>
      <c r="IST19" s="1050"/>
      <c r="ISU19" s="1050"/>
      <c r="ISV19" s="1050"/>
      <c r="ISW19" s="1050"/>
      <c r="ISX19" s="1050"/>
      <c r="ISY19" s="1050"/>
      <c r="ISZ19" s="1050"/>
      <c r="ITA19" s="1050"/>
      <c r="ITB19" s="1050"/>
      <c r="ITC19" s="1050"/>
      <c r="ITD19" s="1050"/>
      <c r="ITE19" s="1050"/>
      <c r="ITF19" s="1050"/>
      <c r="ITG19" s="1050"/>
      <c r="ITH19" s="1050"/>
      <c r="ITI19" s="1050"/>
      <c r="ITJ19" s="1050"/>
      <c r="ITK19" s="1050"/>
      <c r="ITL19" s="1050"/>
      <c r="ITM19" s="1050"/>
      <c r="ITN19" s="1050"/>
      <c r="ITO19" s="1050"/>
      <c r="ITP19" s="1050"/>
      <c r="ITQ19" s="1050"/>
      <c r="ITR19" s="1050"/>
      <c r="ITS19" s="1050"/>
      <c r="ITT19" s="1050"/>
      <c r="ITU19" s="1050"/>
      <c r="ITV19" s="1050"/>
      <c r="ITW19" s="1050"/>
      <c r="ITX19" s="1050"/>
      <c r="ITY19" s="1050"/>
      <c r="ITZ19" s="1050"/>
      <c r="IUA19" s="1050"/>
      <c r="IUB19" s="1050"/>
      <c r="IUC19" s="1050"/>
      <c r="IUD19" s="1050"/>
      <c r="IUE19" s="1050"/>
      <c r="IUF19" s="1050"/>
      <c r="IUG19" s="1050"/>
      <c r="IUH19" s="1050"/>
      <c r="IUI19" s="1050"/>
      <c r="IUJ19" s="1050"/>
      <c r="IUK19" s="1050"/>
      <c r="IUL19" s="1050"/>
      <c r="IUM19" s="1050"/>
      <c r="IUN19" s="1050"/>
      <c r="IUO19" s="1050"/>
      <c r="IUP19" s="1050"/>
      <c r="IUQ19" s="1050"/>
      <c r="IUR19" s="1050"/>
      <c r="IUS19" s="1050"/>
      <c r="IUT19" s="1050"/>
      <c r="IUU19" s="1050"/>
      <c r="IUV19" s="1050"/>
      <c r="IUW19" s="1050"/>
      <c r="IUX19" s="1050"/>
      <c r="IUY19" s="1050"/>
      <c r="IUZ19" s="1050"/>
      <c r="IVA19" s="1050"/>
      <c r="IVB19" s="1050"/>
      <c r="IVC19" s="1050"/>
      <c r="IVD19" s="1050"/>
      <c r="IVE19" s="1050"/>
      <c r="IVF19" s="1050"/>
      <c r="IVG19" s="1050"/>
      <c r="IVH19" s="1050"/>
      <c r="IVI19" s="1050"/>
      <c r="IVJ19" s="1050"/>
      <c r="IVK19" s="1050"/>
      <c r="IVL19" s="1050"/>
      <c r="IVM19" s="1050"/>
      <c r="IVN19" s="1050"/>
      <c r="IVO19" s="1050"/>
      <c r="IVP19" s="1050"/>
      <c r="IVQ19" s="1050"/>
      <c r="IVR19" s="1050"/>
      <c r="IVS19" s="1050"/>
      <c r="IVT19" s="1050"/>
      <c r="IVU19" s="1050"/>
      <c r="IVV19" s="1050"/>
      <c r="IVW19" s="1050"/>
      <c r="IVX19" s="1050"/>
      <c r="IVY19" s="1050"/>
      <c r="IVZ19" s="1050"/>
      <c r="IWA19" s="1050"/>
      <c r="IWB19" s="1050"/>
      <c r="IWC19" s="1050"/>
      <c r="IWD19" s="1050"/>
      <c r="IWE19" s="1050"/>
      <c r="IWF19" s="1050"/>
      <c r="IWG19" s="1050"/>
      <c r="IWH19" s="1050"/>
      <c r="IWI19" s="1050"/>
      <c r="IWJ19" s="1050"/>
      <c r="IWK19" s="1050"/>
      <c r="IWL19" s="1050"/>
      <c r="IWM19" s="1050"/>
      <c r="IWN19" s="1050"/>
      <c r="IWO19" s="1050"/>
      <c r="IWP19" s="1050"/>
      <c r="IWQ19" s="1050"/>
      <c r="IWR19" s="1050"/>
      <c r="IWS19" s="1050"/>
      <c r="IWT19" s="1050"/>
      <c r="IWU19" s="1050"/>
      <c r="IWV19" s="1050"/>
      <c r="IWW19" s="1050"/>
      <c r="IWX19" s="1050"/>
      <c r="IWY19" s="1050"/>
      <c r="IWZ19" s="1050"/>
      <c r="IXA19" s="1050"/>
      <c r="IXB19" s="1050"/>
      <c r="IXC19" s="1050"/>
      <c r="IXD19" s="1050"/>
      <c r="IXE19" s="1050"/>
      <c r="IXF19" s="1050"/>
      <c r="IXG19" s="1050"/>
      <c r="IXH19" s="1050"/>
      <c r="IXI19" s="1050"/>
      <c r="IXJ19" s="1050"/>
      <c r="IXK19" s="1050"/>
      <c r="IXL19" s="1050"/>
      <c r="IXM19" s="1050"/>
      <c r="IXN19" s="1050"/>
      <c r="IXO19" s="1050"/>
      <c r="IXP19" s="1050"/>
      <c r="IXQ19" s="1050"/>
      <c r="IXR19" s="1050"/>
      <c r="IXS19" s="1050"/>
      <c r="IXT19" s="1050"/>
      <c r="IXU19" s="1050"/>
      <c r="IXV19" s="1050"/>
      <c r="IXW19" s="1050"/>
      <c r="IXX19" s="1050"/>
      <c r="IXY19" s="1050"/>
      <c r="IXZ19" s="1050"/>
      <c r="IYA19" s="1050"/>
      <c r="IYB19" s="1050"/>
      <c r="IYC19" s="1050"/>
      <c r="IYD19" s="1050"/>
      <c r="IYE19" s="1050"/>
      <c r="IYF19" s="1050"/>
      <c r="IYG19" s="1050"/>
      <c r="IYH19" s="1050"/>
      <c r="IYI19" s="1050"/>
      <c r="IYJ19" s="1050"/>
      <c r="IYK19" s="1050"/>
      <c r="IYL19" s="1050"/>
      <c r="IYM19" s="1050"/>
      <c r="IYN19" s="1050"/>
      <c r="IYO19" s="1050"/>
      <c r="IYP19" s="1050"/>
      <c r="IYQ19" s="1050"/>
      <c r="IYR19" s="1050"/>
      <c r="IYS19" s="1050"/>
      <c r="IYT19" s="1050"/>
      <c r="IYU19" s="1050"/>
      <c r="IYV19" s="1050"/>
      <c r="IYW19" s="1050"/>
      <c r="IYX19" s="1050"/>
      <c r="IYY19" s="1050"/>
      <c r="IYZ19" s="1050"/>
      <c r="IZA19" s="1050"/>
      <c r="IZB19" s="1050"/>
      <c r="IZC19" s="1050"/>
      <c r="IZD19" s="1050"/>
      <c r="IZE19" s="1050"/>
      <c r="IZF19" s="1050"/>
      <c r="IZG19" s="1050"/>
      <c r="IZH19" s="1050"/>
      <c r="IZI19" s="1050"/>
      <c r="IZJ19" s="1050"/>
      <c r="IZK19" s="1050"/>
      <c r="IZL19" s="1050"/>
      <c r="IZM19" s="1050"/>
      <c r="IZN19" s="1050"/>
      <c r="IZO19" s="1050"/>
      <c r="IZP19" s="1050"/>
      <c r="IZQ19" s="1050"/>
      <c r="IZR19" s="1050"/>
      <c r="IZS19" s="1050"/>
      <c r="IZT19" s="1050"/>
      <c r="IZU19" s="1050"/>
      <c r="IZV19" s="1050"/>
      <c r="IZW19" s="1050"/>
      <c r="IZX19" s="1050"/>
      <c r="IZY19" s="1050"/>
      <c r="IZZ19" s="1050"/>
      <c r="JAA19" s="1050"/>
      <c r="JAB19" s="1050"/>
      <c r="JAC19" s="1050"/>
      <c r="JAD19" s="1050"/>
      <c r="JAE19" s="1050"/>
      <c r="JAF19" s="1050"/>
      <c r="JAG19" s="1050"/>
      <c r="JAH19" s="1050"/>
      <c r="JAI19" s="1050"/>
      <c r="JAJ19" s="1050"/>
      <c r="JAK19" s="1050"/>
      <c r="JAL19" s="1050"/>
      <c r="JAM19" s="1050"/>
      <c r="JAN19" s="1050"/>
      <c r="JAO19" s="1050"/>
      <c r="JAP19" s="1050"/>
      <c r="JAQ19" s="1050"/>
      <c r="JAR19" s="1050"/>
      <c r="JAS19" s="1050"/>
      <c r="JAT19" s="1050"/>
      <c r="JAU19" s="1050"/>
      <c r="JAV19" s="1050"/>
      <c r="JAW19" s="1050"/>
      <c r="JAX19" s="1050"/>
      <c r="JAY19" s="1050"/>
      <c r="JAZ19" s="1050"/>
      <c r="JBA19" s="1050"/>
      <c r="JBB19" s="1050"/>
      <c r="JBC19" s="1050"/>
      <c r="JBD19" s="1050"/>
      <c r="JBE19" s="1050"/>
      <c r="JBF19" s="1050"/>
      <c r="JBG19" s="1050"/>
      <c r="JBH19" s="1050"/>
      <c r="JBI19" s="1050"/>
      <c r="JBJ19" s="1050"/>
      <c r="JBK19" s="1050"/>
      <c r="JBL19" s="1050"/>
      <c r="JBM19" s="1050"/>
      <c r="JBN19" s="1050"/>
      <c r="JBO19" s="1050"/>
      <c r="JBP19" s="1050"/>
      <c r="JBQ19" s="1050"/>
      <c r="JBR19" s="1050"/>
      <c r="JBS19" s="1050"/>
      <c r="JBT19" s="1050"/>
      <c r="JBU19" s="1050"/>
      <c r="JBV19" s="1050"/>
      <c r="JBW19" s="1050"/>
      <c r="JBX19" s="1050"/>
      <c r="JBY19" s="1050"/>
      <c r="JBZ19" s="1050"/>
      <c r="JCA19" s="1050"/>
      <c r="JCB19" s="1050"/>
      <c r="JCC19" s="1050"/>
      <c r="JCD19" s="1050"/>
      <c r="JCE19" s="1050"/>
      <c r="JCF19" s="1050"/>
      <c r="JCG19" s="1050"/>
      <c r="JCH19" s="1050"/>
      <c r="JCI19" s="1050"/>
      <c r="JCJ19" s="1050"/>
      <c r="JCK19" s="1050"/>
      <c r="JCL19" s="1050"/>
      <c r="JCM19" s="1050"/>
      <c r="JCN19" s="1050"/>
      <c r="JCO19" s="1050"/>
      <c r="JCP19" s="1050"/>
      <c r="JCQ19" s="1050"/>
      <c r="JCR19" s="1050"/>
      <c r="JCS19" s="1050"/>
      <c r="JCT19" s="1050"/>
      <c r="JCU19" s="1050"/>
      <c r="JCV19" s="1050"/>
      <c r="JCW19" s="1050"/>
      <c r="JCX19" s="1050"/>
      <c r="JCY19" s="1050"/>
      <c r="JCZ19" s="1050"/>
      <c r="JDA19" s="1050"/>
      <c r="JDB19" s="1050"/>
      <c r="JDC19" s="1050"/>
      <c r="JDD19" s="1050"/>
      <c r="JDE19" s="1050"/>
      <c r="JDF19" s="1050"/>
      <c r="JDG19" s="1050"/>
      <c r="JDH19" s="1050"/>
      <c r="JDI19" s="1050"/>
      <c r="JDJ19" s="1050"/>
      <c r="JDK19" s="1050"/>
      <c r="JDL19" s="1050"/>
      <c r="JDM19" s="1050"/>
      <c r="JDN19" s="1050"/>
      <c r="JDO19" s="1050"/>
      <c r="JDP19" s="1050"/>
      <c r="JDQ19" s="1050"/>
      <c r="JDR19" s="1050"/>
      <c r="JDS19" s="1050"/>
      <c r="JDT19" s="1050"/>
      <c r="JDU19" s="1050"/>
      <c r="JDV19" s="1050"/>
      <c r="JDW19" s="1050"/>
      <c r="JDX19" s="1050"/>
      <c r="JDY19" s="1050"/>
      <c r="JDZ19" s="1050"/>
      <c r="JEA19" s="1050"/>
      <c r="JEB19" s="1050"/>
      <c r="JEC19" s="1050"/>
      <c r="JED19" s="1050"/>
      <c r="JEE19" s="1050"/>
      <c r="JEF19" s="1050"/>
      <c r="JEG19" s="1050"/>
      <c r="JEH19" s="1050"/>
      <c r="JEI19" s="1050"/>
      <c r="JEJ19" s="1050"/>
      <c r="JEK19" s="1050"/>
      <c r="JEL19" s="1050"/>
      <c r="JEM19" s="1050"/>
      <c r="JEN19" s="1050"/>
      <c r="JEO19" s="1050"/>
      <c r="JEP19" s="1050"/>
      <c r="JEQ19" s="1050"/>
      <c r="JER19" s="1050"/>
      <c r="JES19" s="1050"/>
      <c r="JET19" s="1050"/>
      <c r="JEU19" s="1050"/>
      <c r="JEV19" s="1050"/>
      <c r="JEW19" s="1050"/>
      <c r="JEX19" s="1050"/>
      <c r="JEY19" s="1050"/>
      <c r="JEZ19" s="1050"/>
      <c r="JFA19" s="1050"/>
      <c r="JFB19" s="1050"/>
      <c r="JFC19" s="1050"/>
      <c r="JFD19" s="1050"/>
      <c r="JFE19" s="1050"/>
      <c r="JFF19" s="1050"/>
      <c r="JFG19" s="1050"/>
      <c r="JFH19" s="1050"/>
      <c r="JFI19" s="1050"/>
      <c r="JFJ19" s="1050"/>
      <c r="JFK19" s="1050"/>
      <c r="JFL19" s="1050"/>
      <c r="JFM19" s="1050"/>
      <c r="JFN19" s="1050"/>
      <c r="JFO19" s="1050"/>
      <c r="JFP19" s="1050"/>
      <c r="JFQ19" s="1050"/>
      <c r="JFR19" s="1050"/>
      <c r="JFS19" s="1050"/>
      <c r="JFT19" s="1050"/>
      <c r="JFU19" s="1050"/>
      <c r="JFV19" s="1050"/>
      <c r="JFW19" s="1050"/>
      <c r="JFX19" s="1050"/>
      <c r="JFY19" s="1050"/>
      <c r="JFZ19" s="1050"/>
      <c r="JGA19" s="1050"/>
      <c r="JGB19" s="1050"/>
      <c r="JGC19" s="1050"/>
      <c r="JGD19" s="1050"/>
      <c r="JGE19" s="1050"/>
      <c r="JGF19" s="1050"/>
      <c r="JGG19" s="1050"/>
      <c r="JGH19" s="1050"/>
      <c r="JGI19" s="1050"/>
      <c r="JGJ19" s="1050"/>
      <c r="JGK19" s="1050"/>
      <c r="JGL19" s="1050"/>
      <c r="JGM19" s="1050"/>
      <c r="JGN19" s="1050"/>
      <c r="JGO19" s="1050"/>
      <c r="JGP19" s="1050"/>
      <c r="JGQ19" s="1050"/>
      <c r="JGR19" s="1050"/>
      <c r="JGS19" s="1050"/>
      <c r="JGT19" s="1050"/>
      <c r="JGU19" s="1050"/>
      <c r="JGV19" s="1050"/>
      <c r="JGW19" s="1050"/>
      <c r="JGX19" s="1050"/>
      <c r="JGY19" s="1050"/>
      <c r="JGZ19" s="1050"/>
      <c r="JHA19" s="1050"/>
      <c r="JHB19" s="1050"/>
      <c r="JHC19" s="1050"/>
      <c r="JHD19" s="1050"/>
      <c r="JHE19" s="1050"/>
      <c r="JHF19" s="1050"/>
      <c r="JHG19" s="1050"/>
      <c r="JHH19" s="1050"/>
      <c r="JHI19" s="1050"/>
      <c r="JHJ19" s="1050"/>
      <c r="JHK19" s="1050"/>
      <c r="JHL19" s="1050"/>
      <c r="JHM19" s="1050"/>
      <c r="JHN19" s="1050"/>
      <c r="JHO19" s="1050"/>
      <c r="JHP19" s="1050"/>
      <c r="JHQ19" s="1050"/>
      <c r="JHR19" s="1050"/>
      <c r="JHS19" s="1050"/>
      <c r="JHT19" s="1050"/>
      <c r="JHU19" s="1050"/>
      <c r="JHV19" s="1050"/>
      <c r="JHW19" s="1050"/>
      <c r="JHX19" s="1050"/>
      <c r="JHY19" s="1050"/>
      <c r="JHZ19" s="1050"/>
      <c r="JIA19" s="1050"/>
      <c r="JIB19" s="1050"/>
      <c r="JIC19" s="1050"/>
      <c r="JID19" s="1050"/>
      <c r="JIE19" s="1050"/>
      <c r="JIF19" s="1050"/>
      <c r="JIG19" s="1050"/>
      <c r="JIH19" s="1050"/>
      <c r="JII19" s="1050"/>
      <c r="JIJ19" s="1050"/>
      <c r="JIK19" s="1050"/>
      <c r="JIL19" s="1050"/>
      <c r="JIM19" s="1050"/>
      <c r="JIN19" s="1050"/>
      <c r="JIO19" s="1050"/>
      <c r="JIP19" s="1050"/>
      <c r="JIQ19" s="1050"/>
      <c r="JIR19" s="1050"/>
      <c r="JIS19" s="1050"/>
      <c r="JIT19" s="1050"/>
      <c r="JIU19" s="1050"/>
      <c r="JIV19" s="1050"/>
      <c r="JIW19" s="1050"/>
      <c r="JIX19" s="1050"/>
      <c r="JIY19" s="1050"/>
      <c r="JIZ19" s="1050"/>
      <c r="JJA19" s="1050"/>
      <c r="JJB19" s="1050"/>
      <c r="JJC19" s="1050"/>
      <c r="JJD19" s="1050"/>
      <c r="JJE19" s="1050"/>
      <c r="JJF19" s="1050"/>
      <c r="JJG19" s="1050"/>
      <c r="JJH19" s="1050"/>
      <c r="JJI19" s="1050"/>
      <c r="JJJ19" s="1050"/>
      <c r="JJK19" s="1050"/>
      <c r="JJL19" s="1050"/>
      <c r="JJM19" s="1050"/>
      <c r="JJN19" s="1050"/>
      <c r="JJO19" s="1050"/>
      <c r="JJP19" s="1050"/>
      <c r="JJQ19" s="1050"/>
      <c r="JJR19" s="1050"/>
      <c r="JJS19" s="1050"/>
      <c r="JJT19" s="1050"/>
      <c r="JJU19" s="1050"/>
      <c r="JJV19" s="1050"/>
      <c r="JJW19" s="1050"/>
      <c r="JJX19" s="1050"/>
      <c r="JJY19" s="1050"/>
      <c r="JJZ19" s="1050"/>
      <c r="JKA19" s="1050"/>
      <c r="JKB19" s="1050"/>
      <c r="JKC19" s="1050"/>
      <c r="JKD19" s="1050"/>
      <c r="JKE19" s="1050"/>
      <c r="JKF19" s="1050"/>
      <c r="JKG19" s="1050"/>
      <c r="JKH19" s="1050"/>
      <c r="JKI19" s="1050"/>
      <c r="JKJ19" s="1050"/>
      <c r="JKK19" s="1050"/>
      <c r="JKL19" s="1050"/>
      <c r="JKM19" s="1050"/>
      <c r="JKN19" s="1050"/>
      <c r="JKO19" s="1050"/>
      <c r="JKP19" s="1050"/>
      <c r="JKQ19" s="1050"/>
      <c r="JKR19" s="1050"/>
      <c r="JKS19" s="1050"/>
      <c r="JKT19" s="1050"/>
      <c r="JKU19" s="1050"/>
      <c r="JKV19" s="1050"/>
      <c r="JKW19" s="1050"/>
      <c r="JKX19" s="1050"/>
      <c r="JKY19" s="1050"/>
      <c r="JKZ19" s="1050"/>
      <c r="JLA19" s="1050"/>
      <c r="JLB19" s="1050"/>
      <c r="JLC19" s="1050"/>
      <c r="JLD19" s="1050"/>
      <c r="JLE19" s="1050"/>
      <c r="JLF19" s="1050"/>
      <c r="JLG19" s="1050"/>
      <c r="JLH19" s="1050"/>
      <c r="JLI19" s="1050"/>
      <c r="JLJ19" s="1050"/>
      <c r="JLK19" s="1050"/>
      <c r="JLL19" s="1050"/>
      <c r="JLM19" s="1050"/>
      <c r="JLN19" s="1050"/>
      <c r="JLO19" s="1050"/>
      <c r="JLP19" s="1050"/>
      <c r="JLQ19" s="1050"/>
      <c r="JLR19" s="1050"/>
      <c r="JLS19" s="1050"/>
      <c r="JLT19" s="1050"/>
      <c r="JLU19" s="1050"/>
      <c r="JLV19" s="1050"/>
      <c r="JLW19" s="1050"/>
      <c r="JLX19" s="1050"/>
      <c r="JLY19" s="1050"/>
      <c r="JLZ19" s="1050"/>
      <c r="JMA19" s="1050"/>
      <c r="JMB19" s="1050"/>
      <c r="JMC19" s="1050"/>
      <c r="JMD19" s="1050"/>
      <c r="JME19" s="1050"/>
      <c r="JMF19" s="1050"/>
      <c r="JMG19" s="1050"/>
      <c r="JMH19" s="1050"/>
      <c r="JMI19" s="1050"/>
      <c r="JMJ19" s="1050"/>
      <c r="JMK19" s="1050"/>
      <c r="JML19" s="1050"/>
      <c r="JMM19" s="1050"/>
      <c r="JMN19" s="1050"/>
      <c r="JMO19" s="1050"/>
      <c r="JMP19" s="1050"/>
      <c r="JMQ19" s="1050"/>
      <c r="JMR19" s="1050"/>
      <c r="JMS19" s="1050"/>
      <c r="JMT19" s="1050"/>
      <c r="JMU19" s="1050"/>
      <c r="JMV19" s="1050"/>
      <c r="JMW19" s="1050"/>
      <c r="JMX19" s="1050"/>
      <c r="JMY19" s="1050"/>
      <c r="JMZ19" s="1050"/>
      <c r="JNA19" s="1050"/>
      <c r="JNB19" s="1050"/>
      <c r="JNC19" s="1050"/>
      <c r="JND19" s="1050"/>
      <c r="JNE19" s="1050"/>
      <c r="JNF19" s="1050"/>
      <c r="JNG19" s="1050"/>
      <c r="JNH19" s="1050"/>
      <c r="JNI19" s="1050"/>
      <c r="JNJ19" s="1050"/>
      <c r="JNK19" s="1050"/>
      <c r="JNL19" s="1050"/>
      <c r="JNM19" s="1050"/>
      <c r="JNN19" s="1050"/>
      <c r="JNO19" s="1050"/>
      <c r="JNP19" s="1050"/>
      <c r="JNQ19" s="1050"/>
      <c r="JNR19" s="1050"/>
      <c r="JNS19" s="1050"/>
      <c r="JNT19" s="1050"/>
      <c r="JNU19" s="1050"/>
      <c r="JNV19" s="1050"/>
      <c r="JNW19" s="1050"/>
      <c r="JNX19" s="1050"/>
      <c r="JNY19" s="1050"/>
      <c r="JNZ19" s="1050"/>
      <c r="JOA19" s="1050"/>
      <c r="JOB19" s="1050"/>
      <c r="JOC19" s="1050"/>
      <c r="JOD19" s="1050"/>
      <c r="JOE19" s="1050"/>
      <c r="JOF19" s="1050"/>
      <c r="JOG19" s="1050"/>
      <c r="JOH19" s="1050"/>
      <c r="JOI19" s="1050"/>
      <c r="JOJ19" s="1050"/>
      <c r="JOK19" s="1050"/>
      <c r="JOL19" s="1050"/>
      <c r="JOM19" s="1050"/>
      <c r="JON19" s="1050"/>
      <c r="JOO19" s="1050"/>
      <c r="JOP19" s="1050"/>
      <c r="JOQ19" s="1050"/>
      <c r="JOR19" s="1050"/>
      <c r="JOS19" s="1050"/>
      <c r="JOT19" s="1050"/>
      <c r="JOU19" s="1050"/>
      <c r="JOV19" s="1050"/>
      <c r="JOW19" s="1050"/>
      <c r="JOX19" s="1050"/>
      <c r="JOY19" s="1050"/>
      <c r="JOZ19" s="1050"/>
      <c r="JPA19" s="1050"/>
      <c r="JPB19" s="1050"/>
      <c r="JPC19" s="1050"/>
      <c r="JPD19" s="1050"/>
      <c r="JPE19" s="1050"/>
      <c r="JPF19" s="1050"/>
      <c r="JPG19" s="1050"/>
      <c r="JPH19" s="1050"/>
      <c r="JPI19" s="1050"/>
      <c r="JPJ19" s="1050"/>
      <c r="JPK19" s="1050"/>
      <c r="JPL19" s="1050"/>
      <c r="JPM19" s="1050"/>
      <c r="JPN19" s="1050"/>
      <c r="JPO19" s="1050"/>
      <c r="JPP19" s="1050"/>
      <c r="JPQ19" s="1050"/>
      <c r="JPR19" s="1050"/>
      <c r="JPS19" s="1050"/>
      <c r="JPT19" s="1050"/>
      <c r="JPU19" s="1050"/>
      <c r="JPV19" s="1050"/>
      <c r="JPW19" s="1050"/>
      <c r="JPX19" s="1050"/>
      <c r="JPY19" s="1050"/>
      <c r="JPZ19" s="1050"/>
      <c r="JQA19" s="1050"/>
      <c r="JQB19" s="1050"/>
      <c r="JQC19" s="1050"/>
      <c r="JQD19" s="1050"/>
      <c r="JQE19" s="1050"/>
      <c r="JQF19" s="1050"/>
      <c r="JQG19" s="1050"/>
      <c r="JQH19" s="1050"/>
      <c r="JQI19" s="1050"/>
      <c r="JQJ19" s="1050"/>
      <c r="JQK19" s="1050"/>
      <c r="JQL19" s="1050"/>
      <c r="JQM19" s="1050"/>
      <c r="JQN19" s="1050"/>
      <c r="JQO19" s="1050"/>
      <c r="JQP19" s="1050"/>
      <c r="JQQ19" s="1050"/>
      <c r="JQR19" s="1050"/>
      <c r="JQS19" s="1050"/>
      <c r="JQT19" s="1050"/>
      <c r="JQU19" s="1050"/>
      <c r="JQV19" s="1050"/>
      <c r="JQW19" s="1050"/>
      <c r="JQX19" s="1050"/>
      <c r="JQY19" s="1050"/>
      <c r="JQZ19" s="1050"/>
      <c r="JRA19" s="1050"/>
      <c r="JRB19" s="1050"/>
      <c r="JRC19" s="1050"/>
      <c r="JRD19" s="1050"/>
      <c r="JRE19" s="1050"/>
      <c r="JRF19" s="1050"/>
      <c r="JRG19" s="1050"/>
      <c r="JRH19" s="1050"/>
      <c r="JRI19" s="1050"/>
      <c r="JRJ19" s="1050"/>
      <c r="JRK19" s="1050"/>
      <c r="JRL19" s="1050"/>
      <c r="JRM19" s="1050"/>
      <c r="JRN19" s="1050"/>
      <c r="JRO19" s="1050"/>
      <c r="JRP19" s="1050"/>
      <c r="JRQ19" s="1050"/>
      <c r="JRR19" s="1050"/>
      <c r="JRS19" s="1050"/>
      <c r="JRT19" s="1050"/>
      <c r="JRU19" s="1050"/>
      <c r="JRV19" s="1050"/>
      <c r="JRW19" s="1050"/>
      <c r="JRX19" s="1050"/>
      <c r="JRY19" s="1050"/>
      <c r="JRZ19" s="1050"/>
      <c r="JSA19" s="1050"/>
      <c r="JSB19" s="1050"/>
      <c r="JSC19" s="1050"/>
      <c r="JSD19" s="1050"/>
      <c r="JSE19" s="1050"/>
      <c r="JSF19" s="1050"/>
      <c r="JSG19" s="1050"/>
      <c r="JSH19" s="1050"/>
      <c r="JSI19" s="1050"/>
      <c r="JSJ19" s="1050"/>
      <c r="JSK19" s="1050"/>
      <c r="JSL19" s="1050"/>
      <c r="JSM19" s="1050"/>
      <c r="JSN19" s="1050"/>
      <c r="JSO19" s="1050"/>
      <c r="JSP19" s="1050"/>
      <c r="JSQ19" s="1050"/>
      <c r="JSR19" s="1050"/>
      <c r="JSS19" s="1050"/>
      <c r="JST19" s="1050"/>
      <c r="JSU19" s="1050"/>
      <c r="JSV19" s="1050"/>
      <c r="JSW19" s="1050"/>
      <c r="JSX19" s="1050"/>
      <c r="JSY19" s="1050"/>
      <c r="JSZ19" s="1050"/>
      <c r="JTA19" s="1050"/>
      <c r="JTB19" s="1050"/>
      <c r="JTC19" s="1050"/>
      <c r="JTD19" s="1050"/>
      <c r="JTE19" s="1050"/>
      <c r="JTF19" s="1050"/>
      <c r="JTG19" s="1050"/>
      <c r="JTH19" s="1050"/>
      <c r="JTI19" s="1050"/>
      <c r="JTJ19" s="1050"/>
      <c r="JTK19" s="1050"/>
      <c r="JTL19" s="1050"/>
      <c r="JTM19" s="1050"/>
      <c r="JTN19" s="1050"/>
      <c r="JTO19" s="1050"/>
      <c r="JTP19" s="1050"/>
      <c r="JTQ19" s="1050"/>
      <c r="JTR19" s="1050"/>
      <c r="JTS19" s="1050"/>
      <c r="JTT19" s="1050"/>
      <c r="JTU19" s="1050"/>
      <c r="JTV19" s="1050"/>
      <c r="JTW19" s="1050"/>
      <c r="JTX19" s="1050"/>
      <c r="JTY19" s="1050"/>
      <c r="JTZ19" s="1050"/>
      <c r="JUA19" s="1050"/>
      <c r="JUB19" s="1050"/>
      <c r="JUC19" s="1050"/>
      <c r="JUD19" s="1050"/>
      <c r="JUE19" s="1050"/>
      <c r="JUF19" s="1050"/>
      <c r="JUG19" s="1050"/>
      <c r="JUH19" s="1050"/>
      <c r="JUI19" s="1050"/>
      <c r="JUJ19" s="1050"/>
      <c r="JUK19" s="1050"/>
      <c r="JUL19" s="1050"/>
      <c r="JUM19" s="1050"/>
      <c r="JUN19" s="1050"/>
      <c r="JUO19" s="1050"/>
      <c r="JUP19" s="1050"/>
      <c r="JUQ19" s="1050"/>
      <c r="JUR19" s="1050"/>
      <c r="JUS19" s="1050"/>
      <c r="JUT19" s="1050"/>
      <c r="JUU19" s="1050"/>
      <c r="JUV19" s="1050"/>
      <c r="JUW19" s="1050"/>
      <c r="JUX19" s="1050"/>
      <c r="JUY19" s="1050"/>
      <c r="JUZ19" s="1050"/>
      <c r="JVA19" s="1050"/>
      <c r="JVB19" s="1050"/>
      <c r="JVC19" s="1050"/>
      <c r="JVD19" s="1050"/>
      <c r="JVE19" s="1050"/>
      <c r="JVF19" s="1050"/>
      <c r="JVG19" s="1050"/>
      <c r="JVH19" s="1050"/>
      <c r="JVI19" s="1050"/>
      <c r="JVJ19" s="1050"/>
      <c r="JVK19" s="1050"/>
      <c r="JVL19" s="1050"/>
      <c r="JVM19" s="1050"/>
      <c r="JVN19" s="1050"/>
      <c r="JVO19" s="1050"/>
      <c r="JVP19" s="1050"/>
      <c r="JVQ19" s="1050"/>
      <c r="JVR19" s="1050"/>
      <c r="JVS19" s="1050"/>
      <c r="JVT19" s="1050"/>
      <c r="JVU19" s="1050"/>
      <c r="JVV19" s="1050"/>
      <c r="JVW19" s="1050"/>
      <c r="JVX19" s="1050"/>
      <c r="JVY19" s="1050"/>
      <c r="JVZ19" s="1050"/>
      <c r="JWA19" s="1050"/>
      <c r="JWB19" s="1050"/>
      <c r="JWC19" s="1050"/>
      <c r="JWD19" s="1050"/>
      <c r="JWE19" s="1050"/>
      <c r="JWF19" s="1050"/>
      <c r="JWG19" s="1050"/>
      <c r="JWH19" s="1050"/>
      <c r="JWI19" s="1050"/>
      <c r="JWJ19" s="1050"/>
      <c r="JWK19" s="1050"/>
      <c r="JWL19" s="1050"/>
      <c r="JWM19" s="1050"/>
      <c r="JWN19" s="1050"/>
      <c r="JWO19" s="1050"/>
      <c r="JWP19" s="1050"/>
      <c r="JWQ19" s="1050"/>
      <c r="JWR19" s="1050"/>
      <c r="JWS19" s="1050"/>
      <c r="JWT19" s="1050"/>
      <c r="JWU19" s="1050"/>
      <c r="JWV19" s="1050"/>
      <c r="JWW19" s="1050"/>
      <c r="JWX19" s="1050"/>
      <c r="JWY19" s="1050"/>
      <c r="JWZ19" s="1050"/>
      <c r="JXA19" s="1050"/>
      <c r="JXB19" s="1050"/>
      <c r="JXC19" s="1050"/>
      <c r="JXD19" s="1050"/>
      <c r="JXE19" s="1050"/>
      <c r="JXF19" s="1050"/>
      <c r="JXG19" s="1050"/>
      <c r="JXH19" s="1050"/>
      <c r="JXI19" s="1050"/>
      <c r="JXJ19" s="1050"/>
      <c r="JXK19" s="1050"/>
      <c r="JXL19" s="1050"/>
      <c r="JXM19" s="1050"/>
      <c r="JXN19" s="1050"/>
      <c r="JXO19" s="1050"/>
      <c r="JXP19" s="1050"/>
      <c r="JXQ19" s="1050"/>
      <c r="JXR19" s="1050"/>
      <c r="JXS19" s="1050"/>
      <c r="JXT19" s="1050"/>
      <c r="JXU19" s="1050"/>
      <c r="JXV19" s="1050"/>
      <c r="JXW19" s="1050"/>
      <c r="JXX19" s="1050"/>
      <c r="JXY19" s="1050"/>
      <c r="JXZ19" s="1050"/>
      <c r="JYA19" s="1050"/>
      <c r="JYB19" s="1050"/>
      <c r="JYC19" s="1050"/>
      <c r="JYD19" s="1050"/>
      <c r="JYE19" s="1050"/>
      <c r="JYF19" s="1050"/>
      <c r="JYG19" s="1050"/>
      <c r="JYH19" s="1050"/>
      <c r="JYI19" s="1050"/>
      <c r="JYJ19" s="1050"/>
      <c r="JYK19" s="1050"/>
      <c r="JYL19" s="1050"/>
      <c r="JYM19" s="1050"/>
      <c r="JYN19" s="1050"/>
      <c r="JYO19" s="1050"/>
      <c r="JYP19" s="1050"/>
      <c r="JYQ19" s="1050"/>
      <c r="JYR19" s="1050"/>
      <c r="JYS19" s="1050"/>
      <c r="JYT19" s="1050"/>
      <c r="JYU19" s="1050"/>
      <c r="JYV19" s="1050"/>
      <c r="JYW19" s="1050"/>
      <c r="JYX19" s="1050"/>
      <c r="JYY19" s="1050"/>
      <c r="JYZ19" s="1050"/>
      <c r="JZA19" s="1050"/>
      <c r="JZB19" s="1050"/>
      <c r="JZC19" s="1050"/>
      <c r="JZD19" s="1050"/>
      <c r="JZE19" s="1050"/>
      <c r="JZF19" s="1050"/>
      <c r="JZG19" s="1050"/>
      <c r="JZH19" s="1050"/>
      <c r="JZI19" s="1050"/>
      <c r="JZJ19" s="1050"/>
      <c r="JZK19" s="1050"/>
      <c r="JZL19" s="1050"/>
      <c r="JZM19" s="1050"/>
      <c r="JZN19" s="1050"/>
      <c r="JZO19" s="1050"/>
      <c r="JZP19" s="1050"/>
      <c r="JZQ19" s="1050"/>
      <c r="JZR19" s="1050"/>
      <c r="JZS19" s="1050"/>
      <c r="JZT19" s="1050"/>
      <c r="JZU19" s="1050"/>
      <c r="JZV19" s="1050"/>
      <c r="JZW19" s="1050"/>
      <c r="JZX19" s="1050"/>
      <c r="JZY19" s="1050"/>
      <c r="JZZ19" s="1050"/>
      <c r="KAA19" s="1050"/>
      <c r="KAB19" s="1050"/>
      <c r="KAC19" s="1050"/>
      <c r="KAD19" s="1050"/>
      <c r="KAE19" s="1050"/>
      <c r="KAF19" s="1050"/>
      <c r="KAG19" s="1050"/>
      <c r="KAH19" s="1050"/>
      <c r="KAI19" s="1050"/>
      <c r="KAJ19" s="1050"/>
      <c r="KAK19" s="1050"/>
      <c r="KAL19" s="1050"/>
      <c r="KAM19" s="1050"/>
      <c r="KAN19" s="1050"/>
      <c r="KAO19" s="1050"/>
      <c r="KAP19" s="1050"/>
      <c r="KAQ19" s="1050"/>
      <c r="KAR19" s="1050"/>
      <c r="KAS19" s="1050"/>
      <c r="KAT19" s="1050"/>
      <c r="KAU19" s="1050"/>
      <c r="KAV19" s="1050"/>
      <c r="KAW19" s="1050"/>
      <c r="KAX19" s="1050"/>
      <c r="KAY19" s="1050"/>
      <c r="KAZ19" s="1050"/>
      <c r="KBA19" s="1050"/>
      <c r="KBB19" s="1050"/>
      <c r="KBC19" s="1050"/>
      <c r="KBD19" s="1050"/>
      <c r="KBE19" s="1050"/>
      <c r="KBF19" s="1050"/>
      <c r="KBG19" s="1050"/>
      <c r="KBH19" s="1050"/>
      <c r="KBI19" s="1050"/>
      <c r="KBJ19" s="1050"/>
      <c r="KBK19" s="1050"/>
      <c r="KBL19" s="1050"/>
      <c r="KBM19" s="1050"/>
      <c r="KBN19" s="1050"/>
      <c r="KBO19" s="1050"/>
      <c r="KBP19" s="1050"/>
      <c r="KBQ19" s="1050"/>
      <c r="KBR19" s="1050"/>
      <c r="KBS19" s="1050"/>
      <c r="KBT19" s="1050"/>
      <c r="KBU19" s="1050"/>
      <c r="KBV19" s="1050"/>
      <c r="KBW19" s="1050"/>
      <c r="KBX19" s="1050"/>
      <c r="KBY19" s="1050"/>
      <c r="KBZ19" s="1050"/>
      <c r="KCA19" s="1050"/>
      <c r="KCB19" s="1050"/>
      <c r="KCC19" s="1050"/>
      <c r="KCD19" s="1050"/>
      <c r="KCE19" s="1050"/>
      <c r="KCF19" s="1050"/>
      <c r="KCG19" s="1050"/>
      <c r="KCH19" s="1050"/>
      <c r="KCI19" s="1050"/>
      <c r="KCJ19" s="1050"/>
      <c r="KCK19" s="1050"/>
      <c r="KCL19" s="1050"/>
      <c r="KCM19" s="1050"/>
      <c r="KCN19" s="1050"/>
      <c r="KCO19" s="1050"/>
      <c r="KCP19" s="1050"/>
      <c r="KCQ19" s="1050"/>
      <c r="KCR19" s="1050"/>
      <c r="KCS19" s="1050"/>
      <c r="KCT19" s="1050"/>
      <c r="KCU19" s="1050"/>
      <c r="KCV19" s="1050"/>
      <c r="KCW19" s="1050"/>
      <c r="KCX19" s="1050"/>
      <c r="KCY19" s="1050"/>
      <c r="KCZ19" s="1050"/>
      <c r="KDA19" s="1050"/>
      <c r="KDB19" s="1050"/>
      <c r="KDC19" s="1050"/>
      <c r="KDD19" s="1050"/>
      <c r="KDE19" s="1050"/>
      <c r="KDF19" s="1050"/>
      <c r="KDG19" s="1050"/>
      <c r="KDH19" s="1050"/>
      <c r="KDI19" s="1050"/>
      <c r="KDJ19" s="1050"/>
      <c r="KDK19" s="1050"/>
      <c r="KDL19" s="1050"/>
      <c r="KDM19" s="1050"/>
      <c r="KDN19" s="1050"/>
      <c r="KDO19" s="1050"/>
      <c r="KDP19" s="1050"/>
      <c r="KDQ19" s="1050"/>
      <c r="KDR19" s="1050"/>
      <c r="KDS19" s="1050"/>
      <c r="KDT19" s="1050"/>
      <c r="KDU19" s="1050"/>
      <c r="KDV19" s="1050"/>
      <c r="KDW19" s="1050"/>
      <c r="KDX19" s="1050"/>
      <c r="KDY19" s="1050"/>
      <c r="KDZ19" s="1050"/>
      <c r="KEA19" s="1050"/>
      <c r="KEB19" s="1050"/>
      <c r="KEC19" s="1050"/>
      <c r="KED19" s="1050"/>
      <c r="KEE19" s="1050"/>
      <c r="KEF19" s="1050"/>
      <c r="KEG19" s="1050"/>
      <c r="KEH19" s="1050"/>
      <c r="KEI19" s="1050"/>
      <c r="KEJ19" s="1050"/>
      <c r="KEK19" s="1050"/>
      <c r="KEL19" s="1050"/>
      <c r="KEM19" s="1050"/>
      <c r="KEN19" s="1050"/>
      <c r="KEO19" s="1050"/>
      <c r="KEP19" s="1050"/>
      <c r="KEQ19" s="1050"/>
      <c r="KER19" s="1050"/>
      <c r="KES19" s="1050"/>
      <c r="KET19" s="1050"/>
      <c r="KEU19" s="1050"/>
      <c r="KEV19" s="1050"/>
      <c r="KEW19" s="1050"/>
      <c r="KEX19" s="1050"/>
      <c r="KEY19" s="1050"/>
      <c r="KEZ19" s="1050"/>
      <c r="KFA19" s="1050"/>
      <c r="KFB19" s="1050"/>
      <c r="KFC19" s="1050"/>
      <c r="KFD19" s="1050"/>
      <c r="KFE19" s="1050"/>
      <c r="KFF19" s="1050"/>
      <c r="KFG19" s="1050"/>
      <c r="KFH19" s="1050"/>
      <c r="KFI19" s="1050"/>
      <c r="KFJ19" s="1050"/>
      <c r="KFK19" s="1050"/>
      <c r="KFL19" s="1050"/>
      <c r="KFM19" s="1050"/>
      <c r="KFN19" s="1050"/>
      <c r="KFO19" s="1050"/>
      <c r="KFP19" s="1050"/>
      <c r="KFQ19" s="1050"/>
      <c r="KFR19" s="1050"/>
      <c r="KFS19" s="1050"/>
      <c r="KFT19" s="1050"/>
      <c r="KFU19" s="1050"/>
      <c r="KFV19" s="1050"/>
      <c r="KFW19" s="1050"/>
      <c r="KFX19" s="1050"/>
      <c r="KFY19" s="1050"/>
      <c r="KFZ19" s="1050"/>
      <c r="KGA19" s="1050"/>
      <c r="KGB19" s="1050"/>
      <c r="KGC19" s="1050"/>
      <c r="KGD19" s="1050"/>
      <c r="KGE19" s="1050"/>
      <c r="KGF19" s="1050"/>
      <c r="KGG19" s="1050"/>
      <c r="KGH19" s="1050"/>
      <c r="KGI19" s="1050"/>
      <c r="KGJ19" s="1050"/>
      <c r="KGK19" s="1050"/>
      <c r="KGL19" s="1050"/>
      <c r="KGM19" s="1050"/>
      <c r="KGN19" s="1050"/>
      <c r="KGO19" s="1050"/>
      <c r="KGP19" s="1050"/>
      <c r="KGQ19" s="1050"/>
      <c r="KGR19" s="1050"/>
      <c r="KGS19" s="1050"/>
      <c r="KGT19" s="1050"/>
      <c r="KGU19" s="1050"/>
      <c r="KGV19" s="1050"/>
      <c r="KGW19" s="1050"/>
      <c r="KGX19" s="1050"/>
      <c r="KGY19" s="1050"/>
      <c r="KGZ19" s="1050"/>
      <c r="KHA19" s="1050"/>
      <c r="KHB19" s="1050"/>
      <c r="KHC19" s="1050"/>
      <c r="KHD19" s="1050"/>
      <c r="KHE19" s="1050"/>
      <c r="KHF19" s="1050"/>
      <c r="KHG19" s="1050"/>
      <c r="KHH19" s="1050"/>
      <c r="KHI19" s="1050"/>
      <c r="KHJ19" s="1050"/>
      <c r="KHK19" s="1050"/>
      <c r="KHL19" s="1050"/>
      <c r="KHM19" s="1050"/>
      <c r="KHN19" s="1050"/>
      <c r="KHO19" s="1050"/>
      <c r="KHP19" s="1050"/>
      <c r="KHQ19" s="1050"/>
      <c r="KHR19" s="1050"/>
      <c r="KHS19" s="1050"/>
      <c r="KHT19" s="1050"/>
      <c r="KHU19" s="1050"/>
      <c r="KHV19" s="1050"/>
      <c r="KHW19" s="1050"/>
      <c r="KHX19" s="1050"/>
      <c r="KHY19" s="1050"/>
      <c r="KHZ19" s="1050"/>
      <c r="KIA19" s="1050"/>
      <c r="KIB19" s="1050"/>
      <c r="KIC19" s="1050"/>
      <c r="KID19" s="1050"/>
      <c r="KIE19" s="1050"/>
      <c r="KIF19" s="1050"/>
      <c r="KIG19" s="1050"/>
      <c r="KIH19" s="1050"/>
      <c r="KII19" s="1050"/>
      <c r="KIJ19" s="1050"/>
      <c r="KIK19" s="1050"/>
      <c r="KIL19" s="1050"/>
      <c r="KIM19" s="1050"/>
      <c r="KIN19" s="1050"/>
      <c r="KIO19" s="1050"/>
      <c r="KIP19" s="1050"/>
      <c r="KIQ19" s="1050"/>
      <c r="KIR19" s="1050"/>
      <c r="KIS19" s="1050"/>
      <c r="KIT19" s="1050"/>
      <c r="KIU19" s="1050"/>
      <c r="KIV19" s="1050"/>
      <c r="KIW19" s="1050"/>
      <c r="KIX19" s="1050"/>
      <c r="KIY19" s="1050"/>
      <c r="KIZ19" s="1050"/>
      <c r="KJA19" s="1050"/>
      <c r="KJB19" s="1050"/>
      <c r="KJC19" s="1050"/>
      <c r="KJD19" s="1050"/>
      <c r="KJE19" s="1050"/>
      <c r="KJF19" s="1050"/>
      <c r="KJG19" s="1050"/>
      <c r="KJH19" s="1050"/>
      <c r="KJI19" s="1050"/>
      <c r="KJJ19" s="1050"/>
      <c r="KJK19" s="1050"/>
      <c r="KJL19" s="1050"/>
      <c r="KJM19" s="1050"/>
      <c r="KJN19" s="1050"/>
      <c r="KJO19" s="1050"/>
      <c r="KJP19" s="1050"/>
      <c r="KJQ19" s="1050"/>
      <c r="KJR19" s="1050"/>
      <c r="KJS19" s="1050"/>
      <c r="KJT19" s="1050"/>
      <c r="KJU19" s="1050"/>
      <c r="KJV19" s="1050"/>
      <c r="KJW19" s="1050"/>
      <c r="KJX19" s="1050"/>
      <c r="KJY19" s="1050"/>
      <c r="KJZ19" s="1050"/>
      <c r="KKA19" s="1050"/>
      <c r="KKB19" s="1050"/>
      <c r="KKC19" s="1050"/>
      <c r="KKD19" s="1050"/>
      <c r="KKE19" s="1050"/>
      <c r="KKF19" s="1050"/>
      <c r="KKG19" s="1050"/>
      <c r="KKH19" s="1050"/>
      <c r="KKI19" s="1050"/>
      <c r="KKJ19" s="1050"/>
      <c r="KKK19" s="1050"/>
      <c r="KKL19" s="1050"/>
      <c r="KKM19" s="1050"/>
      <c r="KKN19" s="1050"/>
      <c r="KKO19" s="1050"/>
      <c r="KKP19" s="1050"/>
      <c r="KKQ19" s="1050"/>
      <c r="KKR19" s="1050"/>
      <c r="KKS19" s="1050"/>
      <c r="KKT19" s="1050"/>
      <c r="KKU19" s="1050"/>
      <c r="KKV19" s="1050"/>
      <c r="KKW19" s="1050"/>
      <c r="KKX19" s="1050"/>
      <c r="KKY19" s="1050"/>
      <c r="KKZ19" s="1050"/>
      <c r="KLA19" s="1050"/>
      <c r="KLB19" s="1050"/>
      <c r="KLC19" s="1050"/>
      <c r="KLD19" s="1050"/>
      <c r="KLE19" s="1050"/>
      <c r="KLF19" s="1050"/>
      <c r="KLG19" s="1050"/>
      <c r="KLH19" s="1050"/>
      <c r="KLI19" s="1050"/>
      <c r="KLJ19" s="1050"/>
      <c r="KLK19" s="1050"/>
      <c r="KLL19" s="1050"/>
      <c r="KLM19" s="1050"/>
      <c r="KLN19" s="1050"/>
      <c r="KLO19" s="1050"/>
      <c r="KLP19" s="1050"/>
      <c r="KLQ19" s="1050"/>
      <c r="KLR19" s="1050"/>
      <c r="KLS19" s="1050"/>
      <c r="KLT19" s="1050"/>
      <c r="KLU19" s="1050"/>
      <c r="KLV19" s="1050"/>
      <c r="KLW19" s="1050"/>
      <c r="KLX19" s="1050"/>
      <c r="KLY19" s="1050"/>
      <c r="KLZ19" s="1050"/>
      <c r="KMA19" s="1050"/>
      <c r="KMB19" s="1050"/>
      <c r="KMC19" s="1050"/>
      <c r="KMD19" s="1050"/>
      <c r="KME19" s="1050"/>
      <c r="KMF19" s="1050"/>
      <c r="KMG19" s="1050"/>
      <c r="KMH19" s="1050"/>
      <c r="KMI19" s="1050"/>
      <c r="KMJ19" s="1050"/>
      <c r="KMK19" s="1050"/>
      <c r="KML19" s="1050"/>
      <c r="KMM19" s="1050"/>
      <c r="KMN19" s="1050"/>
      <c r="KMO19" s="1050"/>
      <c r="KMP19" s="1050"/>
      <c r="KMQ19" s="1050"/>
      <c r="KMR19" s="1050"/>
      <c r="KMS19" s="1050"/>
      <c r="KMT19" s="1050"/>
      <c r="KMU19" s="1050"/>
      <c r="KMV19" s="1050"/>
      <c r="KMW19" s="1050"/>
      <c r="KMX19" s="1050"/>
      <c r="KMY19" s="1050"/>
      <c r="KMZ19" s="1050"/>
      <c r="KNA19" s="1050"/>
      <c r="KNB19" s="1050"/>
      <c r="KNC19" s="1050"/>
      <c r="KND19" s="1050"/>
      <c r="KNE19" s="1050"/>
      <c r="KNF19" s="1050"/>
      <c r="KNG19" s="1050"/>
      <c r="KNH19" s="1050"/>
      <c r="KNI19" s="1050"/>
      <c r="KNJ19" s="1050"/>
      <c r="KNK19" s="1050"/>
      <c r="KNL19" s="1050"/>
      <c r="KNM19" s="1050"/>
      <c r="KNN19" s="1050"/>
      <c r="KNO19" s="1050"/>
      <c r="KNP19" s="1050"/>
      <c r="KNQ19" s="1050"/>
      <c r="KNR19" s="1050"/>
      <c r="KNS19" s="1050"/>
      <c r="KNT19" s="1050"/>
      <c r="KNU19" s="1050"/>
      <c r="KNV19" s="1050"/>
      <c r="KNW19" s="1050"/>
      <c r="KNX19" s="1050"/>
      <c r="KNY19" s="1050"/>
      <c r="KNZ19" s="1050"/>
      <c r="KOA19" s="1050"/>
      <c r="KOB19" s="1050"/>
      <c r="KOC19" s="1050"/>
      <c r="KOD19" s="1050"/>
      <c r="KOE19" s="1050"/>
      <c r="KOF19" s="1050"/>
      <c r="KOG19" s="1050"/>
      <c r="KOH19" s="1050"/>
      <c r="KOI19" s="1050"/>
      <c r="KOJ19" s="1050"/>
      <c r="KOK19" s="1050"/>
      <c r="KOL19" s="1050"/>
      <c r="KOM19" s="1050"/>
      <c r="KON19" s="1050"/>
      <c r="KOO19" s="1050"/>
      <c r="KOP19" s="1050"/>
      <c r="KOQ19" s="1050"/>
      <c r="KOR19" s="1050"/>
      <c r="KOS19" s="1050"/>
      <c r="KOT19" s="1050"/>
      <c r="KOU19" s="1050"/>
      <c r="KOV19" s="1050"/>
      <c r="KOW19" s="1050"/>
      <c r="KOX19" s="1050"/>
      <c r="KOY19" s="1050"/>
      <c r="KOZ19" s="1050"/>
      <c r="KPA19" s="1050"/>
      <c r="KPB19" s="1050"/>
      <c r="KPC19" s="1050"/>
      <c r="KPD19" s="1050"/>
      <c r="KPE19" s="1050"/>
      <c r="KPF19" s="1050"/>
      <c r="KPG19" s="1050"/>
      <c r="KPH19" s="1050"/>
      <c r="KPI19" s="1050"/>
      <c r="KPJ19" s="1050"/>
      <c r="KPK19" s="1050"/>
      <c r="KPL19" s="1050"/>
      <c r="KPM19" s="1050"/>
      <c r="KPN19" s="1050"/>
      <c r="KPO19" s="1050"/>
      <c r="KPP19" s="1050"/>
      <c r="KPQ19" s="1050"/>
      <c r="KPR19" s="1050"/>
      <c r="KPS19" s="1050"/>
      <c r="KPT19" s="1050"/>
      <c r="KPU19" s="1050"/>
      <c r="KPV19" s="1050"/>
      <c r="KPW19" s="1050"/>
      <c r="KPX19" s="1050"/>
      <c r="KPY19" s="1050"/>
      <c r="KPZ19" s="1050"/>
      <c r="KQA19" s="1050"/>
      <c r="KQB19" s="1050"/>
      <c r="KQC19" s="1050"/>
      <c r="KQD19" s="1050"/>
      <c r="KQE19" s="1050"/>
      <c r="KQF19" s="1050"/>
      <c r="KQG19" s="1050"/>
      <c r="KQH19" s="1050"/>
      <c r="KQI19" s="1050"/>
      <c r="KQJ19" s="1050"/>
      <c r="KQK19" s="1050"/>
      <c r="KQL19" s="1050"/>
      <c r="KQM19" s="1050"/>
      <c r="KQN19" s="1050"/>
      <c r="KQO19" s="1050"/>
      <c r="KQP19" s="1050"/>
      <c r="KQQ19" s="1050"/>
      <c r="KQR19" s="1050"/>
      <c r="KQS19" s="1050"/>
      <c r="KQT19" s="1050"/>
      <c r="KQU19" s="1050"/>
      <c r="KQV19" s="1050"/>
      <c r="KQW19" s="1050"/>
      <c r="KQX19" s="1050"/>
      <c r="KQY19" s="1050"/>
      <c r="KQZ19" s="1050"/>
      <c r="KRA19" s="1050"/>
      <c r="KRB19" s="1050"/>
      <c r="KRC19" s="1050"/>
      <c r="KRD19" s="1050"/>
      <c r="KRE19" s="1050"/>
      <c r="KRF19" s="1050"/>
      <c r="KRG19" s="1050"/>
      <c r="KRH19" s="1050"/>
      <c r="KRI19" s="1050"/>
      <c r="KRJ19" s="1050"/>
      <c r="KRK19" s="1050"/>
      <c r="KRL19" s="1050"/>
      <c r="KRM19" s="1050"/>
      <c r="KRN19" s="1050"/>
      <c r="KRO19" s="1050"/>
      <c r="KRP19" s="1050"/>
      <c r="KRQ19" s="1050"/>
      <c r="KRR19" s="1050"/>
      <c r="KRS19" s="1050"/>
      <c r="KRT19" s="1050"/>
      <c r="KRU19" s="1050"/>
      <c r="KRV19" s="1050"/>
      <c r="KRW19" s="1050"/>
      <c r="KRX19" s="1050"/>
      <c r="KRY19" s="1050"/>
      <c r="KRZ19" s="1050"/>
      <c r="KSA19" s="1050"/>
      <c r="KSB19" s="1050"/>
      <c r="KSC19" s="1050"/>
      <c r="KSD19" s="1050"/>
      <c r="KSE19" s="1050"/>
      <c r="KSF19" s="1050"/>
      <c r="KSG19" s="1050"/>
      <c r="KSH19" s="1050"/>
      <c r="KSI19" s="1050"/>
      <c r="KSJ19" s="1050"/>
      <c r="KSK19" s="1050"/>
      <c r="KSL19" s="1050"/>
      <c r="KSM19" s="1050"/>
      <c r="KSN19" s="1050"/>
      <c r="KSO19" s="1050"/>
      <c r="KSP19" s="1050"/>
      <c r="KSQ19" s="1050"/>
      <c r="KSR19" s="1050"/>
      <c r="KSS19" s="1050"/>
      <c r="KST19" s="1050"/>
      <c r="KSU19" s="1050"/>
      <c r="KSV19" s="1050"/>
      <c r="KSW19" s="1050"/>
      <c r="KSX19" s="1050"/>
      <c r="KSY19" s="1050"/>
      <c r="KSZ19" s="1050"/>
      <c r="KTA19" s="1050"/>
      <c r="KTB19" s="1050"/>
      <c r="KTC19" s="1050"/>
      <c r="KTD19" s="1050"/>
      <c r="KTE19" s="1050"/>
      <c r="KTF19" s="1050"/>
      <c r="KTG19" s="1050"/>
      <c r="KTH19" s="1050"/>
      <c r="KTI19" s="1050"/>
      <c r="KTJ19" s="1050"/>
      <c r="KTK19" s="1050"/>
      <c r="KTL19" s="1050"/>
      <c r="KTM19" s="1050"/>
      <c r="KTN19" s="1050"/>
      <c r="KTO19" s="1050"/>
      <c r="KTP19" s="1050"/>
      <c r="KTQ19" s="1050"/>
      <c r="KTR19" s="1050"/>
      <c r="KTS19" s="1050"/>
      <c r="KTT19" s="1050"/>
      <c r="KTU19" s="1050"/>
      <c r="KTV19" s="1050"/>
      <c r="KTW19" s="1050"/>
      <c r="KTX19" s="1050"/>
      <c r="KTY19" s="1050"/>
      <c r="KTZ19" s="1050"/>
      <c r="KUA19" s="1050"/>
      <c r="KUB19" s="1050"/>
      <c r="KUC19" s="1050"/>
      <c r="KUD19" s="1050"/>
      <c r="KUE19" s="1050"/>
      <c r="KUF19" s="1050"/>
      <c r="KUG19" s="1050"/>
      <c r="KUH19" s="1050"/>
      <c r="KUI19" s="1050"/>
      <c r="KUJ19" s="1050"/>
      <c r="KUK19" s="1050"/>
      <c r="KUL19" s="1050"/>
      <c r="KUM19" s="1050"/>
      <c r="KUN19" s="1050"/>
      <c r="KUO19" s="1050"/>
      <c r="KUP19" s="1050"/>
      <c r="KUQ19" s="1050"/>
      <c r="KUR19" s="1050"/>
      <c r="KUS19" s="1050"/>
      <c r="KUT19" s="1050"/>
      <c r="KUU19" s="1050"/>
      <c r="KUV19" s="1050"/>
      <c r="KUW19" s="1050"/>
      <c r="KUX19" s="1050"/>
      <c r="KUY19" s="1050"/>
      <c r="KUZ19" s="1050"/>
      <c r="KVA19" s="1050"/>
      <c r="KVB19" s="1050"/>
      <c r="KVC19" s="1050"/>
      <c r="KVD19" s="1050"/>
      <c r="KVE19" s="1050"/>
      <c r="KVF19" s="1050"/>
      <c r="KVG19" s="1050"/>
      <c r="KVH19" s="1050"/>
      <c r="KVI19" s="1050"/>
      <c r="KVJ19" s="1050"/>
      <c r="KVK19" s="1050"/>
      <c r="KVL19" s="1050"/>
      <c r="KVM19" s="1050"/>
      <c r="KVN19" s="1050"/>
      <c r="KVO19" s="1050"/>
      <c r="KVP19" s="1050"/>
      <c r="KVQ19" s="1050"/>
      <c r="KVR19" s="1050"/>
      <c r="KVS19" s="1050"/>
      <c r="KVT19" s="1050"/>
      <c r="KVU19" s="1050"/>
      <c r="KVV19" s="1050"/>
      <c r="KVW19" s="1050"/>
      <c r="KVX19" s="1050"/>
      <c r="KVY19" s="1050"/>
      <c r="KVZ19" s="1050"/>
      <c r="KWA19" s="1050"/>
      <c r="KWB19" s="1050"/>
      <c r="KWC19" s="1050"/>
      <c r="KWD19" s="1050"/>
      <c r="KWE19" s="1050"/>
      <c r="KWF19" s="1050"/>
      <c r="KWG19" s="1050"/>
      <c r="KWH19" s="1050"/>
      <c r="KWI19" s="1050"/>
      <c r="KWJ19" s="1050"/>
      <c r="KWK19" s="1050"/>
      <c r="KWL19" s="1050"/>
      <c r="KWM19" s="1050"/>
      <c r="KWN19" s="1050"/>
      <c r="KWO19" s="1050"/>
      <c r="KWP19" s="1050"/>
      <c r="KWQ19" s="1050"/>
      <c r="KWR19" s="1050"/>
      <c r="KWS19" s="1050"/>
      <c r="KWT19" s="1050"/>
      <c r="KWU19" s="1050"/>
      <c r="KWV19" s="1050"/>
      <c r="KWW19" s="1050"/>
      <c r="KWX19" s="1050"/>
      <c r="KWY19" s="1050"/>
      <c r="KWZ19" s="1050"/>
      <c r="KXA19" s="1050"/>
      <c r="KXB19" s="1050"/>
      <c r="KXC19" s="1050"/>
      <c r="KXD19" s="1050"/>
      <c r="KXE19" s="1050"/>
      <c r="KXF19" s="1050"/>
      <c r="KXG19" s="1050"/>
      <c r="KXH19" s="1050"/>
      <c r="KXI19" s="1050"/>
      <c r="KXJ19" s="1050"/>
      <c r="KXK19" s="1050"/>
      <c r="KXL19" s="1050"/>
      <c r="KXM19" s="1050"/>
      <c r="KXN19" s="1050"/>
      <c r="KXO19" s="1050"/>
      <c r="KXP19" s="1050"/>
      <c r="KXQ19" s="1050"/>
      <c r="KXR19" s="1050"/>
      <c r="KXS19" s="1050"/>
      <c r="KXT19" s="1050"/>
      <c r="KXU19" s="1050"/>
      <c r="KXV19" s="1050"/>
      <c r="KXW19" s="1050"/>
      <c r="KXX19" s="1050"/>
      <c r="KXY19" s="1050"/>
      <c r="KXZ19" s="1050"/>
      <c r="KYA19" s="1050"/>
      <c r="KYB19" s="1050"/>
      <c r="KYC19" s="1050"/>
      <c r="KYD19" s="1050"/>
      <c r="KYE19" s="1050"/>
      <c r="KYF19" s="1050"/>
      <c r="KYG19" s="1050"/>
      <c r="KYH19" s="1050"/>
      <c r="KYI19" s="1050"/>
      <c r="KYJ19" s="1050"/>
      <c r="KYK19" s="1050"/>
      <c r="KYL19" s="1050"/>
      <c r="KYM19" s="1050"/>
      <c r="KYN19" s="1050"/>
      <c r="KYO19" s="1050"/>
      <c r="KYP19" s="1050"/>
      <c r="KYQ19" s="1050"/>
      <c r="KYR19" s="1050"/>
      <c r="KYS19" s="1050"/>
      <c r="KYT19" s="1050"/>
      <c r="KYU19" s="1050"/>
      <c r="KYV19" s="1050"/>
      <c r="KYW19" s="1050"/>
      <c r="KYX19" s="1050"/>
      <c r="KYY19" s="1050"/>
      <c r="KYZ19" s="1050"/>
      <c r="KZA19" s="1050"/>
      <c r="KZB19" s="1050"/>
      <c r="KZC19" s="1050"/>
      <c r="KZD19" s="1050"/>
      <c r="KZE19" s="1050"/>
      <c r="KZF19" s="1050"/>
      <c r="KZG19" s="1050"/>
      <c r="KZH19" s="1050"/>
      <c r="KZI19" s="1050"/>
      <c r="KZJ19" s="1050"/>
      <c r="KZK19" s="1050"/>
      <c r="KZL19" s="1050"/>
      <c r="KZM19" s="1050"/>
      <c r="KZN19" s="1050"/>
      <c r="KZO19" s="1050"/>
      <c r="KZP19" s="1050"/>
      <c r="KZQ19" s="1050"/>
      <c r="KZR19" s="1050"/>
      <c r="KZS19" s="1050"/>
      <c r="KZT19" s="1050"/>
      <c r="KZU19" s="1050"/>
      <c r="KZV19" s="1050"/>
      <c r="KZW19" s="1050"/>
      <c r="KZX19" s="1050"/>
      <c r="KZY19" s="1050"/>
      <c r="KZZ19" s="1050"/>
      <c r="LAA19" s="1050"/>
      <c r="LAB19" s="1050"/>
      <c r="LAC19" s="1050"/>
      <c r="LAD19" s="1050"/>
      <c r="LAE19" s="1050"/>
      <c r="LAF19" s="1050"/>
      <c r="LAG19" s="1050"/>
      <c r="LAH19" s="1050"/>
      <c r="LAI19" s="1050"/>
      <c r="LAJ19" s="1050"/>
      <c r="LAK19" s="1050"/>
      <c r="LAL19" s="1050"/>
      <c r="LAM19" s="1050"/>
      <c r="LAN19" s="1050"/>
      <c r="LAO19" s="1050"/>
      <c r="LAP19" s="1050"/>
      <c r="LAQ19" s="1050"/>
      <c r="LAR19" s="1050"/>
      <c r="LAS19" s="1050"/>
      <c r="LAT19" s="1050"/>
      <c r="LAU19" s="1050"/>
      <c r="LAV19" s="1050"/>
      <c r="LAW19" s="1050"/>
      <c r="LAX19" s="1050"/>
      <c r="LAY19" s="1050"/>
      <c r="LAZ19" s="1050"/>
      <c r="LBA19" s="1050"/>
      <c r="LBB19" s="1050"/>
      <c r="LBC19" s="1050"/>
      <c r="LBD19" s="1050"/>
      <c r="LBE19" s="1050"/>
      <c r="LBF19" s="1050"/>
      <c r="LBG19" s="1050"/>
      <c r="LBH19" s="1050"/>
      <c r="LBI19" s="1050"/>
      <c r="LBJ19" s="1050"/>
      <c r="LBK19" s="1050"/>
      <c r="LBL19" s="1050"/>
      <c r="LBM19" s="1050"/>
      <c r="LBN19" s="1050"/>
      <c r="LBO19" s="1050"/>
      <c r="LBP19" s="1050"/>
      <c r="LBQ19" s="1050"/>
      <c r="LBR19" s="1050"/>
      <c r="LBS19" s="1050"/>
      <c r="LBT19" s="1050"/>
      <c r="LBU19" s="1050"/>
      <c r="LBV19" s="1050"/>
      <c r="LBW19" s="1050"/>
      <c r="LBX19" s="1050"/>
      <c r="LBY19" s="1050"/>
      <c r="LBZ19" s="1050"/>
      <c r="LCA19" s="1050"/>
      <c r="LCB19" s="1050"/>
      <c r="LCC19" s="1050"/>
      <c r="LCD19" s="1050"/>
      <c r="LCE19" s="1050"/>
      <c r="LCF19" s="1050"/>
      <c r="LCG19" s="1050"/>
      <c r="LCH19" s="1050"/>
      <c r="LCI19" s="1050"/>
      <c r="LCJ19" s="1050"/>
      <c r="LCK19" s="1050"/>
      <c r="LCL19" s="1050"/>
      <c r="LCM19" s="1050"/>
      <c r="LCN19" s="1050"/>
      <c r="LCO19" s="1050"/>
      <c r="LCP19" s="1050"/>
      <c r="LCQ19" s="1050"/>
      <c r="LCR19" s="1050"/>
      <c r="LCS19" s="1050"/>
      <c r="LCT19" s="1050"/>
      <c r="LCU19" s="1050"/>
      <c r="LCV19" s="1050"/>
      <c r="LCW19" s="1050"/>
      <c r="LCX19" s="1050"/>
      <c r="LCY19" s="1050"/>
      <c r="LCZ19" s="1050"/>
      <c r="LDA19" s="1050"/>
      <c r="LDB19" s="1050"/>
      <c r="LDC19" s="1050"/>
      <c r="LDD19" s="1050"/>
      <c r="LDE19" s="1050"/>
      <c r="LDF19" s="1050"/>
      <c r="LDG19" s="1050"/>
      <c r="LDH19" s="1050"/>
      <c r="LDI19" s="1050"/>
      <c r="LDJ19" s="1050"/>
      <c r="LDK19" s="1050"/>
      <c r="LDL19" s="1050"/>
      <c r="LDM19" s="1050"/>
      <c r="LDN19" s="1050"/>
      <c r="LDO19" s="1050"/>
      <c r="LDP19" s="1050"/>
      <c r="LDQ19" s="1050"/>
      <c r="LDR19" s="1050"/>
      <c r="LDS19" s="1050"/>
      <c r="LDT19" s="1050"/>
      <c r="LDU19" s="1050"/>
      <c r="LDV19" s="1050"/>
      <c r="LDW19" s="1050"/>
      <c r="LDX19" s="1050"/>
      <c r="LDY19" s="1050"/>
      <c r="LDZ19" s="1050"/>
      <c r="LEA19" s="1050"/>
      <c r="LEB19" s="1050"/>
      <c r="LEC19" s="1050"/>
      <c r="LED19" s="1050"/>
      <c r="LEE19" s="1050"/>
      <c r="LEF19" s="1050"/>
      <c r="LEG19" s="1050"/>
      <c r="LEH19" s="1050"/>
      <c r="LEI19" s="1050"/>
      <c r="LEJ19" s="1050"/>
      <c r="LEK19" s="1050"/>
      <c r="LEL19" s="1050"/>
      <c r="LEM19" s="1050"/>
      <c r="LEN19" s="1050"/>
      <c r="LEO19" s="1050"/>
      <c r="LEP19" s="1050"/>
      <c r="LEQ19" s="1050"/>
      <c r="LER19" s="1050"/>
      <c r="LES19" s="1050"/>
      <c r="LET19" s="1050"/>
      <c r="LEU19" s="1050"/>
      <c r="LEV19" s="1050"/>
      <c r="LEW19" s="1050"/>
      <c r="LEX19" s="1050"/>
      <c r="LEY19" s="1050"/>
      <c r="LEZ19" s="1050"/>
      <c r="LFA19" s="1050"/>
      <c r="LFB19" s="1050"/>
      <c r="LFC19" s="1050"/>
      <c r="LFD19" s="1050"/>
      <c r="LFE19" s="1050"/>
      <c r="LFF19" s="1050"/>
      <c r="LFG19" s="1050"/>
      <c r="LFH19" s="1050"/>
      <c r="LFI19" s="1050"/>
      <c r="LFJ19" s="1050"/>
      <c r="LFK19" s="1050"/>
      <c r="LFL19" s="1050"/>
      <c r="LFM19" s="1050"/>
      <c r="LFN19" s="1050"/>
      <c r="LFO19" s="1050"/>
      <c r="LFP19" s="1050"/>
      <c r="LFQ19" s="1050"/>
      <c r="LFR19" s="1050"/>
      <c r="LFS19" s="1050"/>
      <c r="LFT19" s="1050"/>
      <c r="LFU19" s="1050"/>
      <c r="LFV19" s="1050"/>
      <c r="LFW19" s="1050"/>
      <c r="LFX19" s="1050"/>
      <c r="LFY19" s="1050"/>
      <c r="LFZ19" s="1050"/>
      <c r="LGA19" s="1050"/>
      <c r="LGB19" s="1050"/>
      <c r="LGC19" s="1050"/>
      <c r="LGD19" s="1050"/>
      <c r="LGE19" s="1050"/>
      <c r="LGF19" s="1050"/>
      <c r="LGG19" s="1050"/>
      <c r="LGH19" s="1050"/>
      <c r="LGI19" s="1050"/>
      <c r="LGJ19" s="1050"/>
      <c r="LGK19" s="1050"/>
      <c r="LGL19" s="1050"/>
      <c r="LGM19" s="1050"/>
      <c r="LGN19" s="1050"/>
      <c r="LGO19" s="1050"/>
      <c r="LGP19" s="1050"/>
      <c r="LGQ19" s="1050"/>
      <c r="LGR19" s="1050"/>
      <c r="LGS19" s="1050"/>
      <c r="LGT19" s="1050"/>
      <c r="LGU19" s="1050"/>
      <c r="LGV19" s="1050"/>
      <c r="LGW19" s="1050"/>
      <c r="LGX19" s="1050"/>
      <c r="LGY19" s="1050"/>
      <c r="LGZ19" s="1050"/>
      <c r="LHA19" s="1050"/>
      <c r="LHB19" s="1050"/>
      <c r="LHC19" s="1050"/>
      <c r="LHD19" s="1050"/>
      <c r="LHE19" s="1050"/>
      <c r="LHF19" s="1050"/>
      <c r="LHG19" s="1050"/>
      <c r="LHH19" s="1050"/>
      <c r="LHI19" s="1050"/>
      <c r="LHJ19" s="1050"/>
      <c r="LHK19" s="1050"/>
      <c r="LHL19" s="1050"/>
      <c r="LHM19" s="1050"/>
      <c r="LHN19" s="1050"/>
      <c r="LHO19" s="1050"/>
      <c r="LHP19" s="1050"/>
      <c r="LHQ19" s="1050"/>
      <c r="LHR19" s="1050"/>
      <c r="LHS19" s="1050"/>
      <c r="LHT19" s="1050"/>
      <c r="LHU19" s="1050"/>
      <c r="LHV19" s="1050"/>
      <c r="LHW19" s="1050"/>
      <c r="LHX19" s="1050"/>
      <c r="LHY19" s="1050"/>
      <c r="LHZ19" s="1050"/>
      <c r="LIA19" s="1050"/>
      <c r="LIB19" s="1050"/>
      <c r="LIC19" s="1050"/>
      <c r="LID19" s="1050"/>
      <c r="LIE19" s="1050"/>
      <c r="LIF19" s="1050"/>
      <c r="LIG19" s="1050"/>
      <c r="LIH19" s="1050"/>
      <c r="LII19" s="1050"/>
      <c r="LIJ19" s="1050"/>
      <c r="LIK19" s="1050"/>
      <c r="LIL19" s="1050"/>
      <c r="LIM19" s="1050"/>
      <c r="LIN19" s="1050"/>
      <c r="LIO19" s="1050"/>
      <c r="LIP19" s="1050"/>
      <c r="LIQ19" s="1050"/>
      <c r="LIR19" s="1050"/>
      <c r="LIS19" s="1050"/>
      <c r="LIT19" s="1050"/>
      <c r="LIU19" s="1050"/>
      <c r="LIV19" s="1050"/>
      <c r="LIW19" s="1050"/>
      <c r="LIX19" s="1050"/>
      <c r="LIY19" s="1050"/>
      <c r="LIZ19" s="1050"/>
      <c r="LJA19" s="1050"/>
      <c r="LJB19" s="1050"/>
      <c r="LJC19" s="1050"/>
      <c r="LJD19" s="1050"/>
      <c r="LJE19" s="1050"/>
      <c r="LJF19" s="1050"/>
      <c r="LJG19" s="1050"/>
      <c r="LJH19" s="1050"/>
      <c r="LJI19" s="1050"/>
      <c r="LJJ19" s="1050"/>
      <c r="LJK19" s="1050"/>
      <c r="LJL19" s="1050"/>
      <c r="LJM19" s="1050"/>
      <c r="LJN19" s="1050"/>
      <c r="LJO19" s="1050"/>
      <c r="LJP19" s="1050"/>
      <c r="LJQ19" s="1050"/>
      <c r="LJR19" s="1050"/>
      <c r="LJS19" s="1050"/>
      <c r="LJT19" s="1050"/>
      <c r="LJU19" s="1050"/>
      <c r="LJV19" s="1050"/>
      <c r="LJW19" s="1050"/>
      <c r="LJX19" s="1050"/>
      <c r="LJY19" s="1050"/>
      <c r="LJZ19" s="1050"/>
      <c r="LKA19" s="1050"/>
      <c r="LKB19" s="1050"/>
      <c r="LKC19" s="1050"/>
      <c r="LKD19" s="1050"/>
      <c r="LKE19" s="1050"/>
      <c r="LKF19" s="1050"/>
      <c r="LKG19" s="1050"/>
      <c r="LKH19" s="1050"/>
      <c r="LKI19" s="1050"/>
      <c r="LKJ19" s="1050"/>
      <c r="LKK19" s="1050"/>
      <c r="LKL19" s="1050"/>
      <c r="LKM19" s="1050"/>
      <c r="LKN19" s="1050"/>
      <c r="LKO19" s="1050"/>
      <c r="LKP19" s="1050"/>
      <c r="LKQ19" s="1050"/>
      <c r="LKR19" s="1050"/>
      <c r="LKS19" s="1050"/>
      <c r="LKT19" s="1050"/>
      <c r="LKU19" s="1050"/>
      <c r="LKV19" s="1050"/>
      <c r="LKW19" s="1050"/>
      <c r="LKX19" s="1050"/>
      <c r="LKY19" s="1050"/>
      <c r="LKZ19" s="1050"/>
      <c r="LLA19" s="1050"/>
      <c r="LLB19" s="1050"/>
      <c r="LLC19" s="1050"/>
      <c r="LLD19" s="1050"/>
      <c r="LLE19" s="1050"/>
      <c r="LLF19" s="1050"/>
      <c r="LLG19" s="1050"/>
      <c r="LLH19" s="1050"/>
      <c r="LLI19" s="1050"/>
      <c r="LLJ19" s="1050"/>
      <c r="LLK19" s="1050"/>
      <c r="LLL19" s="1050"/>
      <c r="LLM19" s="1050"/>
      <c r="LLN19" s="1050"/>
      <c r="LLO19" s="1050"/>
      <c r="LLP19" s="1050"/>
      <c r="LLQ19" s="1050"/>
      <c r="LLR19" s="1050"/>
      <c r="LLS19" s="1050"/>
      <c r="LLT19" s="1050"/>
      <c r="LLU19" s="1050"/>
      <c r="LLV19" s="1050"/>
      <c r="LLW19" s="1050"/>
      <c r="LLX19" s="1050"/>
      <c r="LLY19" s="1050"/>
      <c r="LLZ19" s="1050"/>
      <c r="LMA19" s="1050"/>
      <c r="LMB19" s="1050"/>
      <c r="LMC19" s="1050"/>
      <c r="LMD19" s="1050"/>
      <c r="LME19" s="1050"/>
      <c r="LMF19" s="1050"/>
      <c r="LMG19" s="1050"/>
      <c r="LMH19" s="1050"/>
      <c r="LMI19" s="1050"/>
      <c r="LMJ19" s="1050"/>
      <c r="LMK19" s="1050"/>
      <c r="LML19" s="1050"/>
      <c r="LMM19" s="1050"/>
      <c r="LMN19" s="1050"/>
      <c r="LMO19" s="1050"/>
      <c r="LMP19" s="1050"/>
      <c r="LMQ19" s="1050"/>
      <c r="LMR19" s="1050"/>
      <c r="LMS19" s="1050"/>
      <c r="LMT19" s="1050"/>
      <c r="LMU19" s="1050"/>
      <c r="LMV19" s="1050"/>
      <c r="LMW19" s="1050"/>
      <c r="LMX19" s="1050"/>
      <c r="LMY19" s="1050"/>
      <c r="LMZ19" s="1050"/>
      <c r="LNA19" s="1050"/>
      <c r="LNB19" s="1050"/>
      <c r="LNC19" s="1050"/>
      <c r="LND19" s="1050"/>
      <c r="LNE19" s="1050"/>
      <c r="LNF19" s="1050"/>
      <c r="LNG19" s="1050"/>
      <c r="LNH19" s="1050"/>
      <c r="LNI19" s="1050"/>
      <c r="LNJ19" s="1050"/>
      <c r="LNK19" s="1050"/>
      <c r="LNL19" s="1050"/>
      <c r="LNM19" s="1050"/>
      <c r="LNN19" s="1050"/>
      <c r="LNO19" s="1050"/>
      <c r="LNP19" s="1050"/>
      <c r="LNQ19" s="1050"/>
      <c r="LNR19" s="1050"/>
      <c r="LNS19" s="1050"/>
      <c r="LNT19" s="1050"/>
      <c r="LNU19" s="1050"/>
      <c r="LNV19" s="1050"/>
      <c r="LNW19" s="1050"/>
      <c r="LNX19" s="1050"/>
      <c r="LNY19" s="1050"/>
      <c r="LNZ19" s="1050"/>
      <c r="LOA19" s="1050"/>
      <c r="LOB19" s="1050"/>
      <c r="LOC19" s="1050"/>
      <c r="LOD19" s="1050"/>
      <c r="LOE19" s="1050"/>
      <c r="LOF19" s="1050"/>
      <c r="LOG19" s="1050"/>
      <c r="LOH19" s="1050"/>
      <c r="LOI19" s="1050"/>
      <c r="LOJ19" s="1050"/>
      <c r="LOK19" s="1050"/>
      <c r="LOL19" s="1050"/>
      <c r="LOM19" s="1050"/>
      <c r="LON19" s="1050"/>
      <c r="LOO19" s="1050"/>
      <c r="LOP19" s="1050"/>
      <c r="LOQ19" s="1050"/>
      <c r="LOR19" s="1050"/>
      <c r="LOS19" s="1050"/>
      <c r="LOT19" s="1050"/>
      <c r="LOU19" s="1050"/>
      <c r="LOV19" s="1050"/>
      <c r="LOW19" s="1050"/>
      <c r="LOX19" s="1050"/>
      <c r="LOY19" s="1050"/>
      <c r="LOZ19" s="1050"/>
      <c r="LPA19" s="1050"/>
      <c r="LPB19" s="1050"/>
      <c r="LPC19" s="1050"/>
      <c r="LPD19" s="1050"/>
      <c r="LPE19" s="1050"/>
      <c r="LPF19" s="1050"/>
      <c r="LPG19" s="1050"/>
      <c r="LPH19" s="1050"/>
      <c r="LPI19" s="1050"/>
      <c r="LPJ19" s="1050"/>
      <c r="LPK19" s="1050"/>
      <c r="LPL19" s="1050"/>
      <c r="LPM19" s="1050"/>
      <c r="LPN19" s="1050"/>
      <c r="LPO19" s="1050"/>
      <c r="LPP19" s="1050"/>
      <c r="LPQ19" s="1050"/>
      <c r="LPR19" s="1050"/>
      <c r="LPS19" s="1050"/>
      <c r="LPT19" s="1050"/>
      <c r="LPU19" s="1050"/>
      <c r="LPV19" s="1050"/>
      <c r="LPW19" s="1050"/>
      <c r="LPX19" s="1050"/>
      <c r="LPY19" s="1050"/>
      <c r="LPZ19" s="1050"/>
      <c r="LQA19" s="1050"/>
      <c r="LQB19" s="1050"/>
      <c r="LQC19" s="1050"/>
      <c r="LQD19" s="1050"/>
      <c r="LQE19" s="1050"/>
      <c r="LQF19" s="1050"/>
      <c r="LQG19" s="1050"/>
      <c r="LQH19" s="1050"/>
      <c r="LQI19" s="1050"/>
      <c r="LQJ19" s="1050"/>
      <c r="LQK19" s="1050"/>
      <c r="LQL19" s="1050"/>
      <c r="LQM19" s="1050"/>
      <c r="LQN19" s="1050"/>
      <c r="LQO19" s="1050"/>
      <c r="LQP19" s="1050"/>
      <c r="LQQ19" s="1050"/>
      <c r="LQR19" s="1050"/>
      <c r="LQS19" s="1050"/>
      <c r="LQT19" s="1050"/>
      <c r="LQU19" s="1050"/>
      <c r="LQV19" s="1050"/>
      <c r="LQW19" s="1050"/>
      <c r="LQX19" s="1050"/>
      <c r="LQY19" s="1050"/>
      <c r="LQZ19" s="1050"/>
      <c r="LRA19" s="1050"/>
      <c r="LRB19" s="1050"/>
      <c r="LRC19" s="1050"/>
      <c r="LRD19" s="1050"/>
      <c r="LRE19" s="1050"/>
      <c r="LRF19" s="1050"/>
      <c r="LRG19" s="1050"/>
      <c r="LRH19" s="1050"/>
      <c r="LRI19" s="1050"/>
      <c r="LRJ19" s="1050"/>
      <c r="LRK19" s="1050"/>
      <c r="LRL19" s="1050"/>
      <c r="LRM19" s="1050"/>
      <c r="LRN19" s="1050"/>
      <c r="LRO19" s="1050"/>
      <c r="LRP19" s="1050"/>
      <c r="LRQ19" s="1050"/>
      <c r="LRR19" s="1050"/>
      <c r="LRS19" s="1050"/>
      <c r="LRT19" s="1050"/>
      <c r="LRU19" s="1050"/>
      <c r="LRV19" s="1050"/>
      <c r="LRW19" s="1050"/>
      <c r="LRX19" s="1050"/>
      <c r="LRY19" s="1050"/>
      <c r="LRZ19" s="1050"/>
      <c r="LSA19" s="1050"/>
      <c r="LSB19" s="1050"/>
      <c r="LSC19" s="1050"/>
      <c r="LSD19" s="1050"/>
      <c r="LSE19" s="1050"/>
      <c r="LSF19" s="1050"/>
      <c r="LSG19" s="1050"/>
      <c r="LSH19" s="1050"/>
      <c r="LSI19" s="1050"/>
      <c r="LSJ19" s="1050"/>
      <c r="LSK19" s="1050"/>
      <c r="LSL19" s="1050"/>
      <c r="LSM19" s="1050"/>
      <c r="LSN19" s="1050"/>
      <c r="LSO19" s="1050"/>
      <c r="LSP19" s="1050"/>
      <c r="LSQ19" s="1050"/>
      <c r="LSR19" s="1050"/>
      <c r="LSS19" s="1050"/>
      <c r="LST19" s="1050"/>
      <c r="LSU19" s="1050"/>
      <c r="LSV19" s="1050"/>
      <c r="LSW19" s="1050"/>
      <c r="LSX19" s="1050"/>
      <c r="LSY19" s="1050"/>
      <c r="LSZ19" s="1050"/>
      <c r="LTA19" s="1050"/>
      <c r="LTB19" s="1050"/>
      <c r="LTC19" s="1050"/>
      <c r="LTD19" s="1050"/>
      <c r="LTE19" s="1050"/>
      <c r="LTF19" s="1050"/>
      <c r="LTG19" s="1050"/>
      <c r="LTH19" s="1050"/>
      <c r="LTI19" s="1050"/>
      <c r="LTJ19" s="1050"/>
      <c r="LTK19" s="1050"/>
      <c r="LTL19" s="1050"/>
      <c r="LTM19" s="1050"/>
      <c r="LTN19" s="1050"/>
      <c r="LTO19" s="1050"/>
      <c r="LTP19" s="1050"/>
      <c r="LTQ19" s="1050"/>
      <c r="LTR19" s="1050"/>
      <c r="LTS19" s="1050"/>
      <c r="LTT19" s="1050"/>
      <c r="LTU19" s="1050"/>
      <c r="LTV19" s="1050"/>
      <c r="LTW19" s="1050"/>
      <c r="LTX19" s="1050"/>
      <c r="LTY19" s="1050"/>
      <c r="LTZ19" s="1050"/>
      <c r="LUA19" s="1050"/>
      <c r="LUB19" s="1050"/>
      <c r="LUC19" s="1050"/>
      <c r="LUD19" s="1050"/>
      <c r="LUE19" s="1050"/>
      <c r="LUF19" s="1050"/>
      <c r="LUG19" s="1050"/>
      <c r="LUH19" s="1050"/>
      <c r="LUI19" s="1050"/>
      <c r="LUJ19" s="1050"/>
      <c r="LUK19" s="1050"/>
      <c r="LUL19" s="1050"/>
      <c r="LUM19" s="1050"/>
      <c r="LUN19" s="1050"/>
      <c r="LUO19" s="1050"/>
      <c r="LUP19" s="1050"/>
      <c r="LUQ19" s="1050"/>
      <c r="LUR19" s="1050"/>
      <c r="LUS19" s="1050"/>
      <c r="LUT19" s="1050"/>
      <c r="LUU19" s="1050"/>
      <c r="LUV19" s="1050"/>
      <c r="LUW19" s="1050"/>
      <c r="LUX19" s="1050"/>
      <c r="LUY19" s="1050"/>
      <c r="LUZ19" s="1050"/>
      <c r="LVA19" s="1050"/>
      <c r="LVB19" s="1050"/>
      <c r="LVC19" s="1050"/>
      <c r="LVD19" s="1050"/>
      <c r="LVE19" s="1050"/>
      <c r="LVF19" s="1050"/>
      <c r="LVG19" s="1050"/>
      <c r="LVH19" s="1050"/>
      <c r="LVI19" s="1050"/>
      <c r="LVJ19" s="1050"/>
      <c r="LVK19" s="1050"/>
      <c r="LVL19" s="1050"/>
      <c r="LVM19" s="1050"/>
      <c r="LVN19" s="1050"/>
      <c r="LVO19" s="1050"/>
      <c r="LVP19" s="1050"/>
      <c r="LVQ19" s="1050"/>
      <c r="LVR19" s="1050"/>
      <c r="LVS19" s="1050"/>
      <c r="LVT19" s="1050"/>
      <c r="LVU19" s="1050"/>
      <c r="LVV19" s="1050"/>
      <c r="LVW19" s="1050"/>
      <c r="LVX19" s="1050"/>
      <c r="LVY19" s="1050"/>
      <c r="LVZ19" s="1050"/>
      <c r="LWA19" s="1050"/>
      <c r="LWB19" s="1050"/>
      <c r="LWC19" s="1050"/>
      <c r="LWD19" s="1050"/>
      <c r="LWE19" s="1050"/>
      <c r="LWF19" s="1050"/>
      <c r="LWG19" s="1050"/>
      <c r="LWH19" s="1050"/>
      <c r="LWI19" s="1050"/>
      <c r="LWJ19" s="1050"/>
      <c r="LWK19" s="1050"/>
      <c r="LWL19" s="1050"/>
      <c r="LWM19" s="1050"/>
      <c r="LWN19" s="1050"/>
      <c r="LWO19" s="1050"/>
      <c r="LWP19" s="1050"/>
      <c r="LWQ19" s="1050"/>
      <c r="LWR19" s="1050"/>
      <c r="LWS19" s="1050"/>
      <c r="LWT19" s="1050"/>
      <c r="LWU19" s="1050"/>
      <c r="LWV19" s="1050"/>
      <c r="LWW19" s="1050"/>
      <c r="LWX19" s="1050"/>
      <c r="LWY19" s="1050"/>
      <c r="LWZ19" s="1050"/>
      <c r="LXA19" s="1050"/>
      <c r="LXB19" s="1050"/>
      <c r="LXC19" s="1050"/>
      <c r="LXD19" s="1050"/>
      <c r="LXE19" s="1050"/>
      <c r="LXF19" s="1050"/>
      <c r="LXG19" s="1050"/>
      <c r="LXH19" s="1050"/>
      <c r="LXI19" s="1050"/>
      <c r="LXJ19" s="1050"/>
      <c r="LXK19" s="1050"/>
      <c r="LXL19" s="1050"/>
      <c r="LXM19" s="1050"/>
      <c r="LXN19" s="1050"/>
      <c r="LXO19" s="1050"/>
      <c r="LXP19" s="1050"/>
      <c r="LXQ19" s="1050"/>
      <c r="LXR19" s="1050"/>
      <c r="LXS19" s="1050"/>
      <c r="LXT19" s="1050"/>
      <c r="LXU19" s="1050"/>
      <c r="LXV19" s="1050"/>
      <c r="LXW19" s="1050"/>
      <c r="LXX19" s="1050"/>
      <c r="LXY19" s="1050"/>
      <c r="LXZ19" s="1050"/>
      <c r="LYA19" s="1050"/>
      <c r="LYB19" s="1050"/>
      <c r="LYC19" s="1050"/>
      <c r="LYD19" s="1050"/>
      <c r="LYE19" s="1050"/>
      <c r="LYF19" s="1050"/>
      <c r="LYG19" s="1050"/>
      <c r="LYH19" s="1050"/>
      <c r="LYI19" s="1050"/>
      <c r="LYJ19" s="1050"/>
      <c r="LYK19" s="1050"/>
      <c r="LYL19" s="1050"/>
      <c r="LYM19" s="1050"/>
      <c r="LYN19" s="1050"/>
      <c r="LYO19" s="1050"/>
      <c r="LYP19" s="1050"/>
      <c r="LYQ19" s="1050"/>
      <c r="LYR19" s="1050"/>
      <c r="LYS19" s="1050"/>
      <c r="LYT19" s="1050"/>
      <c r="LYU19" s="1050"/>
      <c r="LYV19" s="1050"/>
      <c r="LYW19" s="1050"/>
      <c r="LYX19" s="1050"/>
      <c r="LYY19" s="1050"/>
      <c r="LYZ19" s="1050"/>
      <c r="LZA19" s="1050"/>
      <c r="LZB19" s="1050"/>
      <c r="LZC19" s="1050"/>
      <c r="LZD19" s="1050"/>
      <c r="LZE19" s="1050"/>
      <c r="LZF19" s="1050"/>
      <c r="LZG19" s="1050"/>
      <c r="LZH19" s="1050"/>
      <c r="LZI19" s="1050"/>
      <c r="LZJ19" s="1050"/>
      <c r="LZK19" s="1050"/>
      <c r="LZL19" s="1050"/>
      <c r="LZM19" s="1050"/>
      <c r="LZN19" s="1050"/>
      <c r="LZO19" s="1050"/>
      <c r="LZP19" s="1050"/>
      <c r="LZQ19" s="1050"/>
      <c r="LZR19" s="1050"/>
      <c r="LZS19" s="1050"/>
      <c r="LZT19" s="1050"/>
      <c r="LZU19" s="1050"/>
      <c r="LZV19" s="1050"/>
      <c r="LZW19" s="1050"/>
      <c r="LZX19" s="1050"/>
      <c r="LZY19" s="1050"/>
      <c r="LZZ19" s="1050"/>
      <c r="MAA19" s="1050"/>
      <c r="MAB19" s="1050"/>
      <c r="MAC19" s="1050"/>
      <c r="MAD19" s="1050"/>
      <c r="MAE19" s="1050"/>
      <c r="MAF19" s="1050"/>
      <c r="MAG19" s="1050"/>
      <c r="MAH19" s="1050"/>
      <c r="MAI19" s="1050"/>
      <c r="MAJ19" s="1050"/>
      <c r="MAK19" s="1050"/>
      <c r="MAL19" s="1050"/>
      <c r="MAM19" s="1050"/>
      <c r="MAN19" s="1050"/>
      <c r="MAO19" s="1050"/>
      <c r="MAP19" s="1050"/>
      <c r="MAQ19" s="1050"/>
      <c r="MAR19" s="1050"/>
      <c r="MAS19" s="1050"/>
      <c r="MAT19" s="1050"/>
      <c r="MAU19" s="1050"/>
      <c r="MAV19" s="1050"/>
      <c r="MAW19" s="1050"/>
      <c r="MAX19" s="1050"/>
      <c r="MAY19" s="1050"/>
      <c r="MAZ19" s="1050"/>
      <c r="MBA19" s="1050"/>
      <c r="MBB19" s="1050"/>
      <c r="MBC19" s="1050"/>
      <c r="MBD19" s="1050"/>
      <c r="MBE19" s="1050"/>
      <c r="MBF19" s="1050"/>
      <c r="MBG19" s="1050"/>
      <c r="MBH19" s="1050"/>
      <c r="MBI19" s="1050"/>
      <c r="MBJ19" s="1050"/>
      <c r="MBK19" s="1050"/>
      <c r="MBL19" s="1050"/>
      <c r="MBM19" s="1050"/>
      <c r="MBN19" s="1050"/>
      <c r="MBO19" s="1050"/>
      <c r="MBP19" s="1050"/>
      <c r="MBQ19" s="1050"/>
      <c r="MBR19" s="1050"/>
      <c r="MBS19" s="1050"/>
      <c r="MBT19" s="1050"/>
      <c r="MBU19" s="1050"/>
      <c r="MBV19" s="1050"/>
      <c r="MBW19" s="1050"/>
      <c r="MBX19" s="1050"/>
      <c r="MBY19" s="1050"/>
      <c r="MBZ19" s="1050"/>
      <c r="MCA19" s="1050"/>
      <c r="MCB19" s="1050"/>
      <c r="MCC19" s="1050"/>
      <c r="MCD19" s="1050"/>
      <c r="MCE19" s="1050"/>
      <c r="MCF19" s="1050"/>
      <c r="MCG19" s="1050"/>
      <c r="MCH19" s="1050"/>
      <c r="MCI19" s="1050"/>
      <c r="MCJ19" s="1050"/>
      <c r="MCK19" s="1050"/>
      <c r="MCL19" s="1050"/>
      <c r="MCM19" s="1050"/>
      <c r="MCN19" s="1050"/>
      <c r="MCO19" s="1050"/>
      <c r="MCP19" s="1050"/>
      <c r="MCQ19" s="1050"/>
      <c r="MCR19" s="1050"/>
      <c r="MCS19" s="1050"/>
      <c r="MCT19" s="1050"/>
      <c r="MCU19" s="1050"/>
      <c r="MCV19" s="1050"/>
      <c r="MCW19" s="1050"/>
      <c r="MCX19" s="1050"/>
      <c r="MCY19" s="1050"/>
      <c r="MCZ19" s="1050"/>
      <c r="MDA19" s="1050"/>
      <c r="MDB19" s="1050"/>
      <c r="MDC19" s="1050"/>
      <c r="MDD19" s="1050"/>
      <c r="MDE19" s="1050"/>
      <c r="MDF19" s="1050"/>
      <c r="MDG19" s="1050"/>
      <c r="MDH19" s="1050"/>
      <c r="MDI19" s="1050"/>
      <c r="MDJ19" s="1050"/>
      <c r="MDK19" s="1050"/>
      <c r="MDL19" s="1050"/>
      <c r="MDM19" s="1050"/>
      <c r="MDN19" s="1050"/>
      <c r="MDO19" s="1050"/>
      <c r="MDP19" s="1050"/>
      <c r="MDQ19" s="1050"/>
      <c r="MDR19" s="1050"/>
      <c r="MDS19" s="1050"/>
      <c r="MDT19" s="1050"/>
      <c r="MDU19" s="1050"/>
      <c r="MDV19" s="1050"/>
      <c r="MDW19" s="1050"/>
      <c r="MDX19" s="1050"/>
      <c r="MDY19" s="1050"/>
      <c r="MDZ19" s="1050"/>
      <c r="MEA19" s="1050"/>
      <c r="MEB19" s="1050"/>
      <c r="MEC19" s="1050"/>
      <c r="MED19" s="1050"/>
      <c r="MEE19" s="1050"/>
      <c r="MEF19" s="1050"/>
      <c r="MEG19" s="1050"/>
      <c r="MEH19" s="1050"/>
      <c r="MEI19" s="1050"/>
      <c r="MEJ19" s="1050"/>
      <c r="MEK19" s="1050"/>
      <c r="MEL19" s="1050"/>
      <c r="MEM19" s="1050"/>
      <c r="MEN19" s="1050"/>
      <c r="MEO19" s="1050"/>
      <c r="MEP19" s="1050"/>
      <c r="MEQ19" s="1050"/>
      <c r="MER19" s="1050"/>
      <c r="MES19" s="1050"/>
      <c r="MET19" s="1050"/>
      <c r="MEU19" s="1050"/>
      <c r="MEV19" s="1050"/>
      <c r="MEW19" s="1050"/>
      <c r="MEX19" s="1050"/>
      <c r="MEY19" s="1050"/>
      <c r="MEZ19" s="1050"/>
      <c r="MFA19" s="1050"/>
      <c r="MFB19" s="1050"/>
      <c r="MFC19" s="1050"/>
      <c r="MFD19" s="1050"/>
      <c r="MFE19" s="1050"/>
      <c r="MFF19" s="1050"/>
      <c r="MFG19" s="1050"/>
      <c r="MFH19" s="1050"/>
      <c r="MFI19" s="1050"/>
      <c r="MFJ19" s="1050"/>
      <c r="MFK19" s="1050"/>
      <c r="MFL19" s="1050"/>
      <c r="MFM19" s="1050"/>
      <c r="MFN19" s="1050"/>
      <c r="MFO19" s="1050"/>
      <c r="MFP19" s="1050"/>
      <c r="MFQ19" s="1050"/>
      <c r="MFR19" s="1050"/>
      <c r="MFS19" s="1050"/>
      <c r="MFT19" s="1050"/>
      <c r="MFU19" s="1050"/>
      <c r="MFV19" s="1050"/>
      <c r="MFW19" s="1050"/>
      <c r="MFX19" s="1050"/>
      <c r="MFY19" s="1050"/>
      <c r="MFZ19" s="1050"/>
      <c r="MGA19" s="1050"/>
      <c r="MGB19" s="1050"/>
      <c r="MGC19" s="1050"/>
      <c r="MGD19" s="1050"/>
      <c r="MGE19" s="1050"/>
      <c r="MGF19" s="1050"/>
      <c r="MGG19" s="1050"/>
      <c r="MGH19" s="1050"/>
      <c r="MGI19" s="1050"/>
      <c r="MGJ19" s="1050"/>
      <c r="MGK19" s="1050"/>
      <c r="MGL19" s="1050"/>
      <c r="MGM19" s="1050"/>
      <c r="MGN19" s="1050"/>
      <c r="MGO19" s="1050"/>
      <c r="MGP19" s="1050"/>
      <c r="MGQ19" s="1050"/>
      <c r="MGR19" s="1050"/>
      <c r="MGS19" s="1050"/>
      <c r="MGT19" s="1050"/>
      <c r="MGU19" s="1050"/>
      <c r="MGV19" s="1050"/>
      <c r="MGW19" s="1050"/>
      <c r="MGX19" s="1050"/>
      <c r="MGY19" s="1050"/>
      <c r="MGZ19" s="1050"/>
      <c r="MHA19" s="1050"/>
      <c r="MHB19" s="1050"/>
      <c r="MHC19" s="1050"/>
      <c r="MHD19" s="1050"/>
      <c r="MHE19" s="1050"/>
      <c r="MHF19" s="1050"/>
      <c r="MHG19" s="1050"/>
      <c r="MHH19" s="1050"/>
      <c r="MHI19" s="1050"/>
      <c r="MHJ19" s="1050"/>
      <c r="MHK19" s="1050"/>
      <c r="MHL19" s="1050"/>
      <c r="MHM19" s="1050"/>
      <c r="MHN19" s="1050"/>
      <c r="MHO19" s="1050"/>
      <c r="MHP19" s="1050"/>
      <c r="MHQ19" s="1050"/>
      <c r="MHR19" s="1050"/>
      <c r="MHS19" s="1050"/>
      <c r="MHT19" s="1050"/>
      <c r="MHU19" s="1050"/>
      <c r="MHV19" s="1050"/>
      <c r="MHW19" s="1050"/>
      <c r="MHX19" s="1050"/>
      <c r="MHY19" s="1050"/>
      <c r="MHZ19" s="1050"/>
      <c r="MIA19" s="1050"/>
      <c r="MIB19" s="1050"/>
      <c r="MIC19" s="1050"/>
      <c r="MID19" s="1050"/>
      <c r="MIE19" s="1050"/>
      <c r="MIF19" s="1050"/>
      <c r="MIG19" s="1050"/>
      <c r="MIH19" s="1050"/>
      <c r="MII19" s="1050"/>
      <c r="MIJ19" s="1050"/>
      <c r="MIK19" s="1050"/>
      <c r="MIL19" s="1050"/>
      <c r="MIM19" s="1050"/>
      <c r="MIN19" s="1050"/>
      <c r="MIO19" s="1050"/>
      <c r="MIP19" s="1050"/>
      <c r="MIQ19" s="1050"/>
      <c r="MIR19" s="1050"/>
      <c r="MIS19" s="1050"/>
      <c r="MIT19" s="1050"/>
      <c r="MIU19" s="1050"/>
      <c r="MIV19" s="1050"/>
      <c r="MIW19" s="1050"/>
      <c r="MIX19" s="1050"/>
      <c r="MIY19" s="1050"/>
      <c r="MIZ19" s="1050"/>
      <c r="MJA19" s="1050"/>
      <c r="MJB19" s="1050"/>
      <c r="MJC19" s="1050"/>
      <c r="MJD19" s="1050"/>
      <c r="MJE19" s="1050"/>
      <c r="MJF19" s="1050"/>
      <c r="MJG19" s="1050"/>
      <c r="MJH19" s="1050"/>
      <c r="MJI19" s="1050"/>
      <c r="MJJ19" s="1050"/>
      <c r="MJK19" s="1050"/>
      <c r="MJL19" s="1050"/>
      <c r="MJM19" s="1050"/>
      <c r="MJN19" s="1050"/>
      <c r="MJO19" s="1050"/>
      <c r="MJP19" s="1050"/>
      <c r="MJQ19" s="1050"/>
      <c r="MJR19" s="1050"/>
      <c r="MJS19" s="1050"/>
      <c r="MJT19" s="1050"/>
      <c r="MJU19" s="1050"/>
      <c r="MJV19" s="1050"/>
      <c r="MJW19" s="1050"/>
      <c r="MJX19" s="1050"/>
      <c r="MJY19" s="1050"/>
      <c r="MJZ19" s="1050"/>
      <c r="MKA19" s="1050"/>
      <c r="MKB19" s="1050"/>
      <c r="MKC19" s="1050"/>
      <c r="MKD19" s="1050"/>
      <c r="MKE19" s="1050"/>
      <c r="MKF19" s="1050"/>
      <c r="MKG19" s="1050"/>
      <c r="MKH19" s="1050"/>
      <c r="MKI19" s="1050"/>
      <c r="MKJ19" s="1050"/>
      <c r="MKK19" s="1050"/>
      <c r="MKL19" s="1050"/>
      <c r="MKM19" s="1050"/>
      <c r="MKN19" s="1050"/>
      <c r="MKO19" s="1050"/>
      <c r="MKP19" s="1050"/>
      <c r="MKQ19" s="1050"/>
      <c r="MKR19" s="1050"/>
      <c r="MKS19" s="1050"/>
      <c r="MKT19" s="1050"/>
      <c r="MKU19" s="1050"/>
      <c r="MKV19" s="1050"/>
      <c r="MKW19" s="1050"/>
      <c r="MKX19" s="1050"/>
      <c r="MKY19" s="1050"/>
      <c r="MKZ19" s="1050"/>
      <c r="MLA19" s="1050"/>
      <c r="MLB19" s="1050"/>
      <c r="MLC19" s="1050"/>
      <c r="MLD19" s="1050"/>
      <c r="MLE19" s="1050"/>
      <c r="MLF19" s="1050"/>
      <c r="MLG19" s="1050"/>
      <c r="MLH19" s="1050"/>
      <c r="MLI19" s="1050"/>
      <c r="MLJ19" s="1050"/>
      <c r="MLK19" s="1050"/>
      <c r="MLL19" s="1050"/>
      <c r="MLM19" s="1050"/>
      <c r="MLN19" s="1050"/>
      <c r="MLO19" s="1050"/>
      <c r="MLP19" s="1050"/>
      <c r="MLQ19" s="1050"/>
      <c r="MLR19" s="1050"/>
      <c r="MLS19" s="1050"/>
      <c r="MLT19" s="1050"/>
      <c r="MLU19" s="1050"/>
      <c r="MLV19" s="1050"/>
      <c r="MLW19" s="1050"/>
      <c r="MLX19" s="1050"/>
      <c r="MLY19" s="1050"/>
      <c r="MLZ19" s="1050"/>
      <c r="MMA19" s="1050"/>
      <c r="MMB19" s="1050"/>
      <c r="MMC19" s="1050"/>
      <c r="MMD19" s="1050"/>
      <c r="MME19" s="1050"/>
      <c r="MMF19" s="1050"/>
      <c r="MMG19" s="1050"/>
      <c r="MMH19" s="1050"/>
      <c r="MMI19" s="1050"/>
      <c r="MMJ19" s="1050"/>
      <c r="MMK19" s="1050"/>
      <c r="MML19" s="1050"/>
      <c r="MMM19" s="1050"/>
      <c r="MMN19" s="1050"/>
      <c r="MMO19" s="1050"/>
      <c r="MMP19" s="1050"/>
      <c r="MMQ19" s="1050"/>
      <c r="MMR19" s="1050"/>
      <c r="MMS19" s="1050"/>
      <c r="MMT19" s="1050"/>
      <c r="MMU19" s="1050"/>
      <c r="MMV19" s="1050"/>
      <c r="MMW19" s="1050"/>
      <c r="MMX19" s="1050"/>
      <c r="MMY19" s="1050"/>
      <c r="MMZ19" s="1050"/>
      <c r="MNA19" s="1050"/>
      <c r="MNB19" s="1050"/>
      <c r="MNC19" s="1050"/>
      <c r="MND19" s="1050"/>
      <c r="MNE19" s="1050"/>
      <c r="MNF19" s="1050"/>
      <c r="MNG19" s="1050"/>
      <c r="MNH19" s="1050"/>
      <c r="MNI19" s="1050"/>
      <c r="MNJ19" s="1050"/>
      <c r="MNK19" s="1050"/>
      <c r="MNL19" s="1050"/>
      <c r="MNM19" s="1050"/>
      <c r="MNN19" s="1050"/>
      <c r="MNO19" s="1050"/>
      <c r="MNP19" s="1050"/>
      <c r="MNQ19" s="1050"/>
      <c r="MNR19" s="1050"/>
      <c r="MNS19" s="1050"/>
      <c r="MNT19" s="1050"/>
      <c r="MNU19" s="1050"/>
      <c r="MNV19" s="1050"/>
      <c r="MNW19" s="1050"/>
      <c r="MNX19" s="1050"/>
      <c r="MNY19" s="1050"/>
      <c r="MNZ19" s="1050"/>
      <c r="MOA19" s="1050"/>
      <c r="MOB19" s="1050"/>
      <c r="MOC19" s="1050"/>
      <c r="MOD19" s="1050"/>
      <c r="MOE19" s="1050"/>
      <c r="MOF19" s="1050"/>
      <c r="MOG19" s="1050"/>
      <c r="MOH19" s="1050"/>
      <c r="MOI19" s="1050"/>
      <c r="MOJ19" s="1050"/>
      <c r="MOK19" s="1050"/>
      <c r="MOL19" s="1050"/>
      <c r="MOM19" s="1050"/>
      <c r="MON19" s="1050"/>
      <c r="MOO19" s="1050"/>
      <c r="MOP19" s="1050"/>
      <c r="MOQ19" s="1050"/>
      <c r="MOR19" s="1050"/>
      <c r="MOS19" s="1050"/>
      <c r="MOT19" s="1050"/>
      <c r="MOU19" s="1050"/>
      <c r="MOV19" s="1050"/>
      <c r="MOW19" s="1050"/>
      <c r="MOX19" s="1050"/>
      <c r="MOY19" s="1050"/>
      <c r="MOZ19" s="1050"/>
      <c r="MPA19" s="1050"/>
      <c r="MPB19" s="1050"/>
      <c r="MPC19" s="1050"/>
      <c r="MPD19" s="1050"/>
      <c r="MPE19" s="1050"/>
      <c r="MPF19" s="1050"/>
      <c r="MPG19" s="1050"/>
      <c r="MPH19" s="1050"/>
      <c r="MPI19" s="1050"/>
      <c r="MPJ19" s="1050"/>
      <c r="MPK19" s="1050"/>
      <c r="MPL19" s="1050"/>
      <c r="MPM19" s="1050"/>
      <c r="MPN19" s="1050"/>
      <c r="MPO19" s="1050"/>
      <c r="MPP19" s="1050"/>
      <c r="MPQ19" s="1050"/>
      <c r="MPR19" s="1050"/>
      <c r="MPS19" s="1050"/>
      <c r="MPT19" s="1050"/>
      <c r="MPU19" s="1050"/>
      <c r="MPV19" s="1050"/>
      <c r="MPW19" s="1050"/>
      <c r="MPX19" s="1050"/>
      <c r="MPY19" s="1050"/>
      <c r="MPZ19" s="1050"/>
      <c r="MQA19" s="1050"/>
      <c r="MQB19" s="1050"/>
      <c r="MQC19" s="1050"/>
      <c r="MQD19" s="1050"/>
      <c r="MQE19" s="1050"/>
      <c r="MQF19" s="1050"/>
      <c r="MQG19" s="1050"/>
      <c r="MQH19" s="1050"/>
      <c r="MQI19" s="1050"/>
      <c r="MQJ19" s="1050"/>
      <c r="MQK19" s="1050"/>
      <c r="MQL19" s="1050"/>
      <c r="MQM19" s="1050"/>
      <c r="MQN19" s="1050"/>
      <c r="MQO19" s="1050"/>
      <c r="MQP19" s="1050"/>
      <c r="MQQ19" s="1050"/>
      <c r="MQR19" s="1050"/>
      <c r="MQS19" s="1050"/>
      <c r="MQT19" s="1050"/>
      <c r="MQU19" s="1050"/>
      <c r="MQV19" s="1050"/>
      <c r="MQW19" s="1050"/>
      <c r="MQX19" s="1050"/>
      <c r="MQY19" s="1050"/>
      <c r="MQZ19" s="1050"/>
      <c r="MRA19" s="1050"/>
      <c r="MRB19" s="1050"/>
      <c r="MRC19" s="1050"/>
      <c r="MRD19" s="1050"/>
      <c r="MRE19" s="1050"/>
      <c r="MRF19" s="1050"/>
      <c r="MRG19" s="1050"/>
      <c r="MRH19" s="1050"/>
      <c r="MRI19" s="1050"/>
      <c r="MRJ19" s="1050"/>
      <c r="MRK19" s="1050"/>
      <c r="MRL19" s="1050"/>
      <c r="MRM19" s="1050"/>
      <c r="MRN19" s="1050"/>
      <c r="MRO19" s="1050"/>
      <c r="MRP19" s="1050"/>
      <c r="MRQ19" s="1050"/>
      <c r="MRR19" s="1050"/>
      <c r="MRS19" s="1050"/>
      <c r="MRT19" s="1050"/>
      <c r="MRU19" s="1050"/>
      <c r="MRV19" s="1050"/>
      <c r="MRW19" s="1050"/>
      <c r="MRX19" s="1050"/>
      <c r="MRY19" s="1050"/>
      <c r="MRZ19" s="1050"/>
      <c r="MSA19" s="1050"/>
      <c r="MSB19" s="1050"/>
      <c r="MSC19" s="1050"/>
      <c r="MSD19" s="1050"/>
      <c r="MSE19" s="1050"/>
      <c r="MSF19" s="1050"/>
      <c r="MSG19" s="1050"/>
      <c r="MSH19" s="1050"/>
      <c r="MSI19" s="1050"/>
      <c r="MSJ19" s="1050"/>
      <c r="MSK19" s="1050"/>
      <c r="MSL19" s="1050"/>
      <c r="MSM19" s="1050"/>
      <c r="MSN19" s="1050"/>
      <c r="MSO19" s="1050"/>
      <c r="MSP19" s="1050"/>
      <c r="MSQ19" s="1050"/>
      <c r="MSR19" s="1050"/>
      <c r="MSS19" s="1050"/>
      <c r="MST19" s="1050"/>
      <c r="MSU19" s="1050"/>
      <c r="MSV19" s="1050"/>
      <c r="MSW19" s="1050"/>
      <c r="MSX19" s="1050"/>
      <c r="MSY19" s="1050"/>
      <c r="MSZ19" s="1050"/>
      <c r="MTA19" s="1050"/>
      <c r="MTB19" s="1050"/>
      <c r="MTC19" s="1050"/>
      <c r="MTD19" s="1050"/>
      <c r="MTE19" s="1050"/>
      <c r="MTF19" s="1050"/>
      <c r="MTG19" s="1050"/>
      <c r="MTH19" s="1050"/>
      <c r="MTI19" s="1050"/>
      <c r="MTJ19" s="1050"/>
      <c r="MTK19" s="1050"/>
      <c r="MTL19" s="1050"/>
      <c r="MTM19" s="1050"/>
      <c r="MTN19" s="1050"/>
      <c r="MTO19" s="1050"/>
      <c r="MTP19" s="1050"/>
      <c r="MTQ19" s="1050"/>
      <c r="MTR19" s="1050"/>
      <c r="MTS19" s="1050"/>
      <c r="MTT19" s="1050"/>
      <c r="MTU19" s="1050"/>
      <c r="MTV19" s="1050"/>
      <c r="MTW19" s="1050"/>
      <c r="MTX19" s="1050"/>
      <c r="MTY19" s="1050"/>
      <c r="MTZ19" s="1050"/>
      <c r="MUA19" s="1050"/>
      <c r="MUB19" s="1050"/>
      <c r="MUC19" s="1050"/>
      <c r="MUD19" s="1050"/>
      <c r="MUE19" s="1050"/>
      <c r="MUF19" s="1050"/>
      <c r="MUG19" s="1050"/>
      <c r="MUH19" s="1050"/>
      <c r="MUI19" s="1050"/>
      <c r="MUJ19" s="1050"/>
      <c r="MUK19" s="1050"/>
      <c r="MUL19" s="1050"/>
      <c r="MUM19" s="1050"/>
      <c r="MUN19" s="1050"/>
      <c r="MUO19" s="1050"/>
      <c r="MUP19" s="1050"/>
      <c r="MUQ19" s="1050"/>
      <c r="MUR19" s="1050"/>
      <c r="MUS19" s="1050"/>
      <c r="MUT19" s="1050"/>
      <c r="MUU19" s="1050"/>
      <c r="MUV19" s="1050"/>
      <c r="MUW19" s="1050"/>
      <c r="MUX19" s="1050"/>
      <c r="MUY19" s="1050"/>
      <c r="MUZ19" s="1050"/>
      <c r="MVA19" s="1050"/>
      <c r="MVB19" s="1050"/>
      <c r="MVC19" s="1050"/>
      <c r="MVD19" s="1050"/>
      <c r="MVE19" s="1050"/>
      <c r="MVF19" s="1050"/>
      <c r="MVG19" s="1050"/>
      <c r="MVH19" s="1050"/>
      <c r="MVI19" s="1050"/>
      <c r="MVJ19" s="1050"/>
      <c r="MVK19" s="1050"/>
      <c r="MVL19" s="1050"/>
      <c r="MVM19" s="1050"/>
      <c r="MVN19" s="1050"/>
      <c r="MVO19" s="1050"/>
      <c r="MVP19" s="1050"/>
      <c r="MVQ19" s="1050"/>
      <c r="MVR19" s="1050"/>
      <c r="MVS19" s="1050"/>
      <c r="MVT19" s="1050"/>
      <c r="MVU19" s="1050"/>
      <c r="MVV19" s="1050"/>
      <c r="MVW19" s="1050"/>
      <c r="MVX19" s="1050"/>
      <c r="MVY19" s="1050"/>
      <c r="MVZ19" s="1050"/>
      <c r="MWA19" s="1050"/>
      <c r="MWB19" s="1050"/>
      <c r="MWC19" s="1050"/>
      <c r="MWD19" s="1050"/>
      <c r="MWE19" s="1050"/>
      <c r="MWF19" s="1050"/>
      <c r="MWG19" s="1050"/>
      <c r="MWH19" s="1050"/>
      <c r="MWI19" s="1050"/>
      <c r="MWJ19" s="1050"/>
      <c r="MWK19" s="1050"/>
      <c r="MWL19" s="1050"/>
      <c r="MWM19" s="1050"/>
      <c r="MWN19" s="1050"/>
      <c r="MWO19" s="1050"/>
      <c r="MWP19" s="1050"/>
      <c r="MWQ19" s="1050"/>
      <c r="MWR19" s="1050"/>
      <c r="MWS19" s="1050"/>
      <c r="MWT19" s="1050"/>
      <c r="MWU19" s="1050"/>
      <c r="MWV19" s="1050"/>
      <c r="MWW19" s="1050"/>
      <c r="MWX19" s="1050"/>
      <c r="MWY19" s="1050"/>
      <c r="MWZ19" s="1050"/>
      <c r="MXA19" s="1050"/>
      <c r="MXB19" s="1050"/>
      <c r="MXC19" s="1050"/>
      <c r="MXD19" s="1050"/>
      <c r="MXE19" s="1050"/>
      <c r="MXF19" s="1050"/>
      <c r="MXG19" s="1050"/>
      <c r="MXH19" s="1050"/>
      <c r="MXI19" s="1050"/>
      <c r="MXJ19" s="1050"/>
      <c r="MXK19" s="1050"/>
      <c r="MXL19" s="1050"/>
      <c r="MXM19" s="1050"/>
      <c r="MXN19" s="1050"/>
      <c r="MXO19" s="1050"/>
      <c r="MXP19" s="1050"/>
      <c r="MXQ19" s="1050"/>
      <c r="MXR19" s="1050"/>
      <c r="MXS19" s="1050"/>
      <c r="MXT19" s="1050"/>
      <c r="MXU19" s="1050"/>
      <c r="MXV19" s="1050"/>
      <c r="MXW19" s="1050"/>
      <c r="MXX19" s="1050"/>
      <c r="MXY19" s="1050"/>
      <c r="MXZ19" s="1050"/>
      <c r="MYA19" s="1050"/>
      <c r="MYB19" s="1050"/>
      <c r="MYC19" s="1050"/>
      <c r="MYD19" s="1050"/>
      <c r="MYE19" s="1050"/>
      <c r="MYF19" s="1050"/>
      <c r="MYG19" s="1050"/>
      <c r="MYH19" s="1050"/>
      <c r="MYI19" s="1050"/>
      <c r="MYJ19" s="1050"/>
      <c r="MYK19" s="1050"/>
      <c r="MYL19" s="1050"/>
      <c r="MYM19" s="1050"/>
      <c r="MYN19" s="1050"/>
      <c r="MYO19" s="1050"/>
      <c r="MYP19" s="1050"/>
      <c r="MYQ19" s="1050"/>
      <c r="MYR19" s="1050"/>
      <c r="MYS19" s="1050"/>
      <c r="MYT19" s="1050"/>
      <c r="MYU19" s="1050"/>
      <c r="MYV19" s="1050"/>
      <c r="MYW19" s="1050"/>
      <c r="MYX19" s="1050"/>
      <c r="MYY19" s="1050"/>
      <c r="MYZ19" s="1050"/>
      <c r="MZA19" s="1050"/>
      <c r="MZB19" s="1050"/>
      <c r="MZC19" s="1050"/>
      <c r="MZD19" s="1050"/>
      <c r="MZE19" s="1050"/>
      <c r="MZF19" s="1050"/>
      <c r="MZG19" s="1050"/>
      <c r="MZH19" s="1050"/>
      <c r="MZI19" s="1050"/>
      <c r="MZJ19" s="1050"/>
      <c r="MZK19" s="1050"/>
      <c r="MZL19" s="1050"/>
      <c r="MZM19" s="1050"/>
      <c r="MZN19" s="1050"/>
      <c r="MZO19" s="1050"/>
      <c r="MZP19" s="1050"/>
      <c r="MZQ19" s="1050"/>
      <c r="MZR19" s="1050"/>
      <c r="MZS19" s="1050"/>
      <c r="MZT19" s="1050"/>
      <c r="MZU19" s="1050"/>
      <c r="MZV19" s="1050"/>
      <c r="MZW19" s="1050"/>
      <c r="MZX19" s="1050"/>
      <c r="MZY19" s="1050"/>
      <c r="MZZ19" s="1050"/>
      <c r="NAA19" s="1050"/>
      <c r="NAB19" s="1050"/>
      <c r="NAC19" s="1050"/>
      <c r="NAD19" s="1050"/>
      <c r="NAE19" s="1050"/>
      <c r="NAF19" s="1050"/>
      <c r="NAG19" s="1050"/>
      <c r="NAH19" s="1050"/>
      <c r="NAI19" s="1050"/>
      <c r="NAJ19" s="1050"/>
      <c r="NAK19" s="1050"/>
      <c r="NAL19" s="1050"/>
      <c r="NAM19" s="1050"/>
      <c r="NAN19" s="1050"/>
      <c r="NAO19" s="1050"/>
      <c r="NAP19" s="1050"/>
      <c r="NAQ19" s="1050"/>
      <c r="NAR19" s="1050"/>
      <c r="NAS19" s="1050"/>
      <c r="NAT19" s="1050"/>
      <c r="NAU19" s="1050"/>
      <c r="NAV19" s="1050"/>
      <c r="NAW19" s="1050"/>
      <c r="NAX19" s="1050"/>
      <c r="NAY19" s="1050"/>
      <c r="NAZ19" s="1050"/>
      <c r="NBA19" s="1050"/>
      <c r="NBB19" s="1050"/>
      <c r="NBC19" s="1050"/>
      <c r="NBD19" s="1050"/>
      <c r="NBE19" s="1050"/>
      <c r="NBF19" s="1050"/>
      <c r="NBG19" s="1050"/>
      <c r="NBH19" s="1050"/>
      <c r="NBI19" s="1050"/>
      <c r="NBJ19" s="1050"/>
      <c r="NBK19" s="1050"/>
      <c r="NBL19" s="1050"/>
      <c r="NBM19" s="1050"/>
      <c r="NBN19" s="1050"/>
      <c r="NBO19" s="1050"/>
      <c r="NBP19" s="1050"/>
      <c r="NBQ19" s="1050"/>
      <c r="NBR19" s="1050"/>
      <c r="NBS19" s="1050"/>
      <c r="NBT19" s="1050"/>
      <c r="NBU19" s="1050"/>
      <c r="NBV19" s="1050"/>
      <c r="NBW19" s="1050"/>
      <c r="NBX19" s="1050"/>
      <c r="NBY19" s="1050"/>
      <c r="NBZ19" s="1050"/>
      <c r="NCA19" s="1050"/>
      <c r="NCB19" s="1050"/>
      <c r="NCC19" s="1050"/>
      <c r="NCD19" s="1050"/>
      <c r="NCE19" s="1050"/>
      <c r="NCF19" s="1050"/>
      <c r="NCG19" s="1050"/>
      <c r="NCH19" s="1050"/>
      <c r="NCI19" s="1050"/>
      <c r="NCJ19" s="1050"/>
      <c r="NCK19" s="1050"/>
      <c r="NCL19" s="1050"/>
      <c r="NCM19" s="1050"/>
      <c r="NCN19" s="1050"/>
      <c r="NCO19" s="1050"/>
      <c r="NCP19" s="1050"/>
      <c r="NCQ19" s="1050"/>
      <c r="NCR19" s="1050"/>
      <c r="NCS19" s="1050"/>
      <c r="NCT19" s="1050"/>
      <c r="NCU19" s="1050"/>
      <c r="NCV19" s="1050"/>
      <c r="NCW19" s="1050"/>
      <c r="NCX19" s="1050"/>
      <c r="NCY19" s="1050"/>
      <c r="NCZ19" s="1050"/>
      <c r="NDA19" s="1050"/>
      <c r="NDB19" s="1050"/>
      <c r="NDC19" s="1050"/>
      <c r="NDD19" s="1050"/>
      <c r="NDE19" s="1050"/>
      <c r="NDF19" s="1050"/>
      <c r="NDG19" s="1050"/>
      <c r="NDH19" s="1050"/>
      <c r="NDI19" s="1050"/>
      <c r="NDJ19" s="1050"/>
      <c r="NDK19" s="1050"/>
      <c r="NDL19" s="1050"/>
      <c r="NDM19" s="1050"/>
      <c r="NDN19" s="1050"/>
      <c r="NDO19" s="1050"/>
      <c r="NDP19" s="1050"/>
      <c r="NDQ19" s="1050"/>
      <c r="NDR19" s="1050"/>
      <c r="NDS19" s="1050"/>
      <c r="NDT19" s="1050"/>
      <c r="NDU19" s="1050"/>
      <c r="NDV19" s="1050"/>
      <c r="NDW19" s="1050"/>
      <c r="NDX19" s="1050"/>
      <c r="NDY19" s="1050"/>
      <c r="NDZ19" s="1050"/>
      <c r="NEA19" s="1050"/>
      <c r="NEB19" s="1050"/>
      <c r="NEC19" s="1050"/>
      <c r="NED19" s="1050"/>
      <c r="NEE19" s="1050"/>
      <c r="NEF19" s="1050"/>
      <c r="NEG19" s="1050"/>
      <c r="NEH19" s="1050"/>
      <c r="NEI19" s="1050"/>
      <c r="NEJ19" s="1050"/>
      <c r="NEK19" s="1050"/>
      <c r="NEL19" s="1050"/>
      <c r="NEM19" s="1050"/>
      <c r="NEN19" s="1050"/>
      <c r="NEO19" s="1050"/>
      <c r="NEP19" s="1050"/>
      <c r="NEQ19" s="1050"/>
      <c r="NER19" s="1050"/>
      <c r="NES19" s="1050"/>
      <c r="NET19" s="1050"/>
      <c r="NEU19" s="1050"/>
      <c r="NEV19" s="1050"/>
      <c r="NEW19" s="1050"/>
      <c r="NEX19" s="1050"/>
      <c r="NEY19" s="1050"/>
      <c r="NEZ19" s="1050"/>
      <c r="NFA19" s="1050"/>
      <c r="NFB19" s="1050"/>
      <c r="NFC19" s="1050"/>
      <c r="NFD19" s="1050"/>
      <c r="NFE19" s="1050"/>
      <c r="NFF19" s="1050"/>
      <c r="NFG19" s="1050"/>
      <c r="NFH19" s="1050"/>
      <c r="NFI19" s="1050"/>
      <c r="NFJ19" s="1050"/>
      <c r="NFK19" s="1050"/>
      <c r="NFL19" s="1050"/>
      <c r="NFM19" s="1050"/>
      <c r="NFN19" s="1050"/>
      <c r="NFO19" s="1050"/>
      <c r="NFP19" s="1050"/>
      <c r="NFQ19" s="1050"/>
      <c r="NFR19" s="1050"/>
      <c r="NFS19" s="1050"/>
      <c r="NFT19" s="1050"/>
      <c r="NFU19" s="1050"/>
      <c r="NFV19" s="1050"/>
      <c r="NFW19" s="1050"/>
      <c r="NFX19" s="1050"/>
      <c r="NFY19" s="1050"/>
      <c r="NFZ19" s="1050"/>
      <c r="NGA19" s="1050"/>
      <c r="NGB19" s="1050"/>
      <c r="NGC19" s="1050"/>
      <c r="NGD19" s="1050"/>
      <c r="NGE19" s="1050"/>
      <c r="NGF19" s="1050"/>
      <c r="NGG19" s="1050"/>
      <c r="NGH19" s="1050"/>
      <c r="NGI19" s="1050"/>
      <c r="NGJ19" s="1050"/>
      <c r="NGK19" s="1050"/>
      <c r="NGL19" s="1050"/>
      <c r="NGM19" s="1050"/>
      <c r="NGN19" s="1050"/>
      <c r="NGO19" s="1050"/>
      <c r="NGP19" s="1050"/>
      <c r="NGQ19" s="1050"/>
      <c r="NGR19" s="1050"/>
      <c r="NGS19" s="1050"/>
      <c r="NGT19" s="1050"/>
      <c r="NGU19" s="1050"/>
      <c r="NGV19" s="1050"/>
      <c r="NGW19" s="1050"/>
      <c r="NGX19" s="1050"/>
      <c r="NGY19" s="1050"/>
      <c r="NGZ19" s="1050"/>
      <c r="NHA19" s="1050"/>
      <c r="NHB19" s="1050"/>
      <c r="NHC19" s="1050"/>
      <c r="NHD19" s="1050"/>
      <c r="NHE19" s="1050"/>
      <c r="NHF19" s="1050"/>
      <c r="NHG19" s="1050"/>
      <c r="NHH19" s="1050"/>
      <c r="NHI19" s="1050"/>
      <c r="NHJ19" s="1050"/>
      <c r="NHK19" s="1050"/>
      <c r="NHL19" s="1050"/>
      <c r="NHM19" s="1050"/>
      <c r="NHN19" s="1050"/>
      <c r="NHO19" s="1050"/>
      <c r="NHP19" s="1050"/>
      <c r="NHQ19" s="1050"/>
      <c r="NHR19" s="1050"/>
      <c r="NHS19" s="1050"/>
      <c r="NHT19" s="1050"/>
      <c r="NHU19" s="1050"/>
      <c r="NHV19" s="1050"/>
      <c r="NHW19" s="1050"/>
      <c r="NHX19" s="1050"/>
      <c r="NHY19" s="1050"/>
      <c r="NHZ19" s="1050"/>
      <c r="NIA19" s="1050"/>
      <c r="NIB19" s="1050"/>
      <c r="NIC19" s="1050"/>
      <c r="NID19" s="1050"/>
      <c r="NIE19" s="1050"/>
      <c r="NIF19" s="1050"/>
      <c r="NIG19" s="1050"/>
      <c r="NIH19" s="1050"/>
      <c r="NII19" s="1050"/>
      <c r="NIJ19" s="1050"/>
      <c r="NIK19" s="1050"/>
      <c r="NIL19" s="1050"/>
      <c r="NIM19" s="1050"/>
      <c r="NIN19" s="1050"/>
      <c r="NIO19" s="1050"/>
      <c r="NIP19" s="1050"/>
      <c r="NIQ19" s="1050"/>
      <c r="NIR19" s="1050"/>
      <c r="NIS19" s="1050"/>
      <c r="NIT19" s="1050"/>
      <c r="NIU19" s="1050"/>
      <c r="NIV19" s="1050"/>
      <c r="NIW19" s="1050"/>
      <c r="NIX19" s="1050"/>
      <c r="NIY19" s="1050"/>
      <c r="NIZ19" s="1050"/>
      <c r="NJA19" s="1050"/>
      <c r="NJB19" s="1050"/>
      <c r="NJC19" s="1050"/>
      <c r="NJD19" s="1050"/>
      <c r="NJE19" s="1050"/>
      <c r="NJF19" s="1050"/>
      <c r="NJG19" s="1050"/>
      <c r="NJH19" s="1050"/>
      <c r="NJI19" s="1050"/>
      <c r="NJJ19" s="1050"/>
      <c r="NJK19" s="1050"/>
      <c r="NJL19" s="1050"/>
      <c r="NJM19" s="1050"/>
      <c r="NJN19" s="1050"/>
      <c r="NJO19" s="1050"/>
      <c r="NJP19" s="1050"/>
      <c r="NJQ19" s="1050"/>
      <c r="NJR19" s="1050"/>
      <c r="NJS19" s="1050"/>
      <c r="NJT19" s="1050"/>
      <c r="NJU19" s="1050"/>
      <c r="NJV19" s="1050"/>
      <c r="NJW19" s="1050"/>
      <c r="NJX19" s="1050"/>
      <c r="NJY19" s="1050"/>
      <c r="NJZ19" s="1050"/>
      <c r="NKA19" s="1050"/>
      <c r="NKB19" s="1050"/>
      <c r="NKC19" s="1050"/>
      <c r="NKD19" s="1050"/>
      <c r="NKE19" s="1050"/>
      <c r="NKF19" s="1050"/>
      <c r="NKG19" s="1050"/>
      <c r="NKH19" s="1050"/>
      <c r="NKI19" s="1050"/>
      <c r="NKJ19" s="1050"/>
      <c r="NKK19" s="1050"/>
      <c r="NKL19" s="1050"/>
      <c r="NKM19" s="1050"/>
      <c r="NKN19" s="1050"/>
      <c r="NKO19" s="1050"/>
      <c r="NKP19" s="1050"/>
      <c r="NKQ19" s="1050"/>
      <c r="NKR19" s="1050"/>
      <c r="NKS19" s="1050"/>
      <c r="NKT19" s="1050"/>
      <c r="NKU19" s="1050"/>
      <c r="NKV19" s="1050"/>
      <c r="NKW19" s="1050"/>
      <c r="NKX19" s="1050"/>
      <c r="NKY19" s="1050"/>
      <c r="NKZ19" s="1050"/>
      <c r="NLA19" s="1050"/>
      <c r="NLB19" s="1050"/>
      <c r="NLC19" s="1050"/>
      <c r="NLD19" s="1050"/>
      <c r="NLE19" s="1050"/>
      <c r="NLF19" s="1050"/>
      <c r="NLG19" s="1050"/>
      <c r="NLH19" s="1050"/>
      <c r="NLI19" s="1050"/>
      <c r="NLJ19" s="1050"/>
      <c r="NLK19" s="1050"/>
      <c r="NLL19" s="1050"/>
      <c r="NLM19" s="1050"/>
      <c r="NLN19" s="1050"/>
      <c r="NLO19" s="1050"/>
      <c r="NLP19" s="1050"/>
      <c r="NLQ19" s="1050"/>
      <c r="NLR19" s="1050"/>
      <c r="NLS19" s="1050"/>
      <c r="NLT19" s="1050"/>
      <c r="NLU19" s="1050"/>
      <c r="NLV19" s="1050"/>
      <c r="NLW19" s="1050"/>
      <c r="NLX19" s="1050"/>
      <c r="NLY19" s="1050"/>
      <c r="NLZ19" s="1050"/>
      <c r="NMA19" s="1050"/>
      <c r="NMB19" s="1050"/>
      <c r="NMC19" s="1050"/>
      <c r="NMD19" s="1050"/>
      <c r="NME19" s="1050"/>
      <c r="NMF19" s="1050"/>
      <c r="NMG19" s="1050"/>
      <c r="NMH19" s="1050"/>
      <c r="NMI19" s="1050"/>
      <c r="NMJ19" s="1050"/>
      <c r="NMK19" s="1050"/>
      <c r="NML19" s="1050"/>
      <c r="NMM19" s="1050"/>
      <c r="NMN19" s="1050"/>
      <c r="NMO19" s="1050"/>
      <c r="NMP19" s="1050"/>
      <c r="NMQ19" s="1050"/>
      <c r="NMR19" s="1050"/>
      <c r="NMS19" s="1050"/>
      <c r="NMT19" s="1050"/>
      <c r="NMU19" s="1050"/>
      <c r="NMV19" s="1050"/>
      <c r="NMW19" s="1050"/>
      <c r="NMX19" s="1050"/>
      <c r="NMY19" s="1050"/>
      <c r="NMZ19" s="1050"/>
      <c r="NNA19" s="1050"/>
      <c r="NNB19" s="1050"/>
      <c r="NNC19" s="1050"/>
      <c r="NND19" s="1050"/>
      <c r="NNE19" s="1050"/>
      <c r="NNF19" s="1050"/>
      <c r="NNG19" s="1050"/>
      <c r="NNH19" s="1050"/>
      <c r="NNI19" s="1050"/>
      <c r="NNJ19" s="1050"/>
      <c r="NNK19" s="1050"/>
      <c r="NNL19" s="1050"/>
      <c r="NNM19" s="1050"/>
      <c r="NNN19" s="1050"/>
      <c r="NNO19" s="1050"/>
      <c r="NNP19" s="1050"/>
      <c r="NNQ19" s="1050"/>
      <c r="NNR19" s="1050"/>
      <c r="NNS19" s="1050"/>
      <c r="NNT19" s="1050"/>
      <c r="NNU19" s="1050"/>
      <c r="NNV19" s="1050"/>
      <c r="NNW19" s="1050"/>
      <c r="NNX19" s="1050"/>
      <c r="NNY19" s="1050"/>
      <c r="NNZ19" s="1050"/>
      <c r="NOA19" s="1050"/>
      <c r="NOB19" s="1050"/>
      <c r="NOC19" s="1050"/>
      <c r="NOD19" s="1050"/>
      <c r="NOE19" s="1050"/>
      <c r="NOF19" s="1050"/>
      <c r="NOG19" s="1050"/>
      <c r="NOH19" s="1050"/>
      <c r="NOI19" s="1050"/>
      <c r="NOJ19" s="1050"/>
      <c r="NOK19" s="1050"/>
      <c r="NOL19" s="1050"/>
      <c r="NOM19" s="1050"/>
      <c r="NON19" s="1050"/>
      <c r="NOO19" s="1050"/>
      <c r="NOP19" s="1050"/>
      <c r="NOQ19" s="1050"/>
      <c r="NOR19" s="1050"/>
      <c r="NOS19" s="1050"/>
      <c r="NOT19" s="1050"/>
      <c r="NOU19" s="1050"/>
      <c r="NOV19" s="1050"/>
      <c r="NOW19" s="1050"/>
      <c r="NOX19" s="1050"/>
      <c r="NOY19" s="1050"/>
      <c r="NOZ19" s="1050"/>
      <c r="NPA19" s="1050"/>
      <c r="NPB19" s="1050"/>
      <c r="NPC19" s="1050"/>
      <c r="NPD19" s="1050"/>
      <c r="NPE19" s="1050"/>
      <c r="NPF19" s="1050"/>
      <c r="NPG19" s="1050"/>
      <c r="NPH19" s="1050"/>
      <c r="NPI19" s="1050"/>
      <c r="NPJ19" s="1050"/>
      <c r="NPK19" s="1050"/>
      <c r="NPL19" s="1050"/>
      <c r="NPM19" s="1050"/>
      <c r="NPN19" s="1050"/>
      <c r="NPO19" s="1050"/>
      <c r="NPP19" s="1050"/>
      <c r="NPQ19" s="1050"/>
      <c r="NPR19" s="1050"/>
      <c r="NPS19" s="1050"/>
      <c r="NPT19" s="1050"/>
      <c r="NPU19" s="1050"/>
      <c r="NPV19" s="1050"/>
      <c r="NPW19" s="1050"/>
      <c r="NPX19" s="1050"/>
      <c r="NPY19" s="1050"/>
      <c r="NPZ19" s="1050"/>
      <c r="NQA19" s="1050"/>
      <c r="NQB19" s="1050"/>
      <c r="NQC19" s="1050"/>
      <c r="NQD19" s="1050"/>
      <c r="NQE19" s="1050"/>
      <c r="NQF19" s="1050"/>
      <c r="NQG19" s="1050"/>
      <c r="NQH19" s="1050"/>
      <c r="NQI19" s="1050"/>
      <c r="NQJ19" s="1050"/>
      <c r="NQK19" s="1050"/>
      <c r="NQL19" s="1050"/>
      <c r="NQM19" s="1050"/>
      <c r="NQN19" s="1050"/>
      <c r="NQO19" s="1050"/>
      <c r="NQP19" s="1050"/>
      <c r="NQQ19" s="1050"/>
      <c r="NQR19" s="1050"/>
      <c r="NQS19" s="1050"/>
      <c r="NQT19" s="1050"/>
      <c r="NQU19" s="1050"/>
      <c r="NQV19" s="1050"/>
      <c r="NQW19" s="1050"/>
      <c r="NQX19" s="1050"/>
      <c r="NQY19" s="1050"/>
      <c r="NQZ19" s="1050"/>
      <c r="NRA19" s="1050"/>
      <c r="NRB19" s="1050"/>
      <c r="NRC19" s="1050"/>
      <c r="NRD19" s="1050"/>
      <c r="NRE19" s="1050"/>
      <c r="NRF19" s="1050"/>
      <c r="NRG19" s="1050"/>
      <c r="NRH19" s="1050"/>
      <c r="NRI19" s="1050"/>
      <c r="NRJ19" s="1050"/>
      <c r="NRK19" s="1050"/>
      <c r="NRL19" s="1050"/>
      <c r="NRM19" s="1050"/>
      <c r="NRN19" s="1050"/>
      <c r="NRO19" s="1050"/>
      <c r="NRP19" s="1050"/>
      <c r="NRQ19" s="1050"/>
      <c r="NRR19" s="1050"/>
      <c r="NRS19" s="1050"/>
      <c r="NRT19" s="1050"/>
      <c r="NRU19" s="1050"/>
      <c r="NRV19" s="1050"/>
      <c r="NRW19" s="1050"/>
      <c r="NRX19" s="1050"/>
      <c r="NRY19" s="1050"/>
      <c r="NRZ19" s="1050"/>
      <c r="NSA19" s="1050"/>
      <c r="NSB19" s="1050"/>
      <c r="NSC19" s="1050"/>
      <c r="NSD19" s="1050"/>
      <c r="NSE19" s="1050"/>
      <c r="NSF19" s="1050"/>
      <c r="NSG19" s="1050"/>
      <c r="NSH19" s="1050"/>
      <c r="NSI19" s="1050"/>
      <c r="NSJ19" s="1050"/>
      <c r="NSK19" s="1050"/>
      <c r="NSL19" s="1050"/>
      <c r="NSM19" s="1050"/>
      <c r="NSN19" s="1050"/>
      <c r="NSO19" s="1050"/>
      <c r="NSP19" s="1050"/>
      <c r="NSQ19" s="1050"/>
      <c r="NSR19" s="1050"/>
      <c r="NSS19" s="1050"/>
      <c r="NST19" s="1050"/>
      <c r="NSU19" s="1050"/>
      <c r="NSV19" s="1050"/>
      <c r="NSW19" s="1050"/>
      <c r="NSX19" s="1050"/>
      <c r="NSY19" s="1050"/>
      <c r="NSZ19" s="1050"/>
      <c r="NTA19" s="1050"/>
      <c r="NTB19" s="1050"/>
      <c r="NTC19" s="1050"/>
      <c r="NTD19" s="1050"/>
      <c r="NTE19" s="1050"/>
      <c r="NTF19" s="1050"/>
      <c r="NTG19" s="1050"/>
      <c r="NTH19" s="1050"/>
      <c r="NTI19" s="1050"/>
      <c r="NTJ19" s="1050"/>
      <c r="NTK19" s="1050"/>
      <c r="NTL19" s="1050"/>
      <c r="NTM19" s="1050"/>
      <c r="NTN19" s="1050"/>
      <c r="NTO19" s="1050"/>
      <c r="NTP19" s="1050"/>
      <c r="NTQ19" s="1050"/>
      <c r="NTR19" s="1050"/>
      <c r="NTS19" s="1050"/>
      <c r="NTT19" s="1050"/>
      <c r="NTU19" s="1050"/>
      <c r="NTV19" s="1050"/>
      <c r="NTW19" s="1050"/>
      <c r="NTX19" s="1050"/>
      <c r="NTY19" s="1050"/>
      <c r="NTZ19" s="1050"/>
      <c r="NUA19" s="1050"/>
      <c r="NUB19" s="1050"/>
      <c r="NUC19" s="1050"/>
      <c r="NUD19" s="1050"/>
      <c r="NUE19" s="1050"/>
      <c r="NUF19" s="1050"/>
      <c r="NUG19" s="1050"/>
      <c r="NUH19" s="1050"/>
      <c r="NUI19" s="1050"/>
      <c r="NUJ19" s="1050"/>
      <c r="NUK19" s="1050"/>
      <c r="NUL19" s="1050"/>
      <c r="NUM19" s="1050"/>
      <c r="NUN19" s="1050"/>
      <c r="NUO19" s="1050"/>
      <c r="NUP19" s="1050"/>
      <c r="NUQ19" s="1050"/>
      <c r="NUR19" s="1050"/>
      <c r="NUS19" s="1050"/>
      <c r="NUT19" s="1050"/>
      <c r="NUU19" s="1050"/>
      <c r="NUV19" s="1050"/>
      <c r="NUW19" s="1050"/>
      <c r="NUX19" s="1050"/>
      <c r="NUY19" s="1050"/>
      <c r="NUZ19" s="1050"/>
      <c r="NVA19" s="1050"/>
      <c r="NVB19" s="1050"/>
      <c r="NVC19" s="1050"/>
      <c r="NVD19" s="1050"/>
      <c r="NVE19" s="1050"/>
      <c r="NVF19" s="1050"/>
      <c r="NVG19" s="1050"/>
      <c r="NVH19" s="1050"/>
      <c r="NVI19" s="1050"/>
      <c r="NVJ19" s="1050"/>
      <c r="NVK19" s="1050"/>
      <c r="NVL19" s="1050"/>
      <c r="NVM19" s="1050"/>
      <c r="NVN19" s="1050"/>
      <c r="NVO19" s="1050"/>
      <c r="NVP19" s="1050"/>
      <c r="NVQ19" s="1050"/>
      <c r="NVR19" s="1050"/>
      <c r="NVS19" s="1050"/>
      <c r="NVT19" s="1050"/>
      <c r="NVU19" s="1050"/>
      <c r="NVV19" s="1050"/>
      <c r="NVW19" s="1050"/>
      <c r="NVX19" s="1050"/>
      <c r="NVY19" s="1050"/>
      <c r="NVZ19" s="1050"/>
      <c r="NWA19" s="1050"/>
      <c r="NWB19" s="1050"/>
      <c r="NWC19" s="1050"/>
      <c r="NWD19" s="1050"/>
      <c r="NWE19" s="1050"/>
      <c r="NWF19" s="1050"/>
      <c r="NWG19" s="1050"/>
      <c r="NWH19" s="1050"/>
      <c r="NWI19" s="1050"/>
      <c r="NWJ19" s="1050"/>
      <c r="NWK19" s="1050"/>
      <c r="NWL19" s="1050"/>
      <c r="NWM19" s="1050"/>
      <c r="NWN19" s="1050"/>
      <c r="NWO19" s="1050"/>
      <c r="NWP19" s="1050"/>
      <c r="NWQ19" s="1050"/>
      <c r="NWR19" s="1050"/>
      <c r="NWS19" s="1050"/>
      <c r="NWT19" s="1050"/>
      <c r="NWU19" s="1050"/>
      <c r="NWV19" s="1050"/>
      <c r="NWW19" s="1050"/>
      <c r="NWX19" s="1050"/>
      <c r="NWY19" s="1050"/>
      <c r="NWZ19" s="1050"/>
      <c r="NXA19" s="1050"/>
      <c r="NXB19" s="1050"/>
      <c r="NXC19" s="1050"/>
      <c r="NXD19" s="1050"/>
      <c r="NXE19" s="1050"/>
      <c r="NXF19" s="1050"/>
      <c r="NXG19" s="1050"/>
      <c r="NXH19" s="1050"/>
      <c r="NXI19" s="1050"/>
      <c r="NXJ19" s="1050"/>
      <c r="NXK19" s="1050"/>
      <c r="NXL19" s="1050"/>
      <c r="NXM19" s="1050"/>
      <c r="NXN19" s="1050"/>
      <c r="NXO19" s="1050"/>
      <c r="NXP19" s="1050"/>
      <c r="NXQ19" s="1050"/>
      <c r="NXR19" s="1050"/>
      <c r="NXS19" s="1050"/>
      <c r="NXT19" s="1050"/>
      <c r="NXU19" s="1050"/>
      <c r="NXV19" s="1050"/>
      <c r="NXW19" s="1050"/>
      <c r="NXX19" s="1050"/>
      <c r="NXY19" s="1050"/>
      <c r="NXZ19" s="1050"/>
      <c r="NYA19" s="1050"/>
      <c r="NYB19" s="1050"/>
      <c r="NYC19" s="1050"/>
      <c r="NYD19" s="1050"/>
      <c r="NYE19" s="1050"/>
      <c r="NYF19" s="1050"/>
      <c r="NYG19" s="1050"/>
      <c r="NYH19" s="1050"/>
      <c r="NYI19" s="1050"/>
      <c r="NYJ19" s="1050"/>
      <c r="NYK19" s="1050"/>
      <c r="NYL19" s="1050"/>
      <c r="NYM19" s="1050"/>
      <c r="NYN19" s="1050"/>
      <c r="NYO19" s="1050"/>
      <c r="NYP19" s="1050"/>
      <c r="NYQ19" s="1050"/>
      <c r="NYR19" s="1050"/>
      <c r="NYS19" s="1050"/>
      <c r="NYT19" s="1050"/>
      <c r="NYU19" s="1050"/>
      <c r="NYV19" s="1050"/>
      <c r="NYW19" s="1050"/>
      <c r="NYX19" s="1050"/>
      <c r="NYY19" s="1050"/>
      <c r="NYZ19" s="1050"/>
      <c r="NZA19" s="1050"/>
      <c r="NZB19" s="1050"/>
      <c r="NZC19" s="1050"/>
      <c r="NZD19" s="1050"/>
      <c r="NZE19" s="1050"/>
      <c r="NZF19" s="1050"/>
      <c r="NZG19" s="1050"/>
      <c r="NZH19" s="1050"/>
      <c r="NZI19" s="1050"/>
      <c r="NZJ19" s="1050"/>
      <c r="NZK19" s="1050"/>
      <c r="NZL19" s="1050"/>
      <c r="NZM19" s="1050"/>
      <c r="NZN19" s="1050"/>
      <c r="NZO19" s="1050"/>
      <c r="NZP19" s="1050"/>
      <c r="NZQ19" s="1050"/>
      <c r="NZR19" s="1050"/>
      <c r="NZS19" s="1050"/>
      <c r="NZT19" s="1050"/>
      <c r="NZU19" s="1050"/>
      <c r="NZV19" s="1050"/>
      <c r="NZW19" s="1050"/>
      <c r="NZX19" s="1050"/>
      <c r="NZY19" s="1050"/>
      <c r="NZZ19" s="1050"/>
      <c r="OAA19" s="1050"/>
      <c r="OAB19" s="1050"/>
      <c r="OAC19" s="1050"/>
      <c r="OAD19" s="1050"/>
      <c r="OAE19" s="1050"/>
      <c r="OAF19" s="1050"/>
      <c r="OAG19" s="1050"/>
      <c r="OAH19" s="1050"/>
      <c r="OAI19" s="1050"/>
      <c r="OAJ19" s="1050"/>
      <c r="OAK19" s="1050"/>
      <c r="OAL19" s="1050"/>
      <c r="OAM19" s="1050"/>
      <c r="OAN19" s="1050"/>
      <c r="OAO19" s="1050"/>
      <c r="OAP19" s="1050"/>
      <c r="OAQ19" s="1050"/>
      <c r="OAR19" s="1050"/>
      <c r="OAS19" s="1050"/>
      <c r="OAT19" s="1050"/>
      <c r="OAU19" s="1050"/>
      <c r="OAV19" s="1050"/>
      <c r="OAW19" s="1050"/>
      <c r="OAX19" s="1050"/>
      <c r="OAY19" s="1050"/>
      <c r="OAZ19" s="1050"/>
      <c r="OBA19" s="1050"/>
      <c r="OBB19" s="1050"/>
      <c r="OBC19" s="1050"/>
      <c r="OBD19" s="1050"/>
      <c r="OBE19" s="1050"/>
      <c r="OBF19" s="1050"/>
      <c r="OBG19" s="1050"/>
      <c r="OBH19" s="1050"/>
      <c r="OBI19" s="1050"/>
      <c r="OBJ19" s="1050"/>
      <c r="OBK19" s="1050"/>
      <c r="OBL19" s="1050"/>
      <c r="OBM19" s="1050"/>
      <c r="OBN19" s="1050"/>
      <c r="OBO19" s="1050"/>
      <c r="OBP19" s="1050"/>
      <c r="OBQ19" s="1050"/>
      <c r="OBR19" s="1050"/>
      <c r="OBS19" s="1050"/>
      <c r="OBT19" s="1050"/>
      <c r="OBU19" s="1050"/>
      <c r="OBV19" s="1050"/>
      <c r="OBW19" s="1050"/>
      <c r="OBX19" s="1050"/>
      <c r="OBY19" s="1050"/>
      <c r="OBZ19" s="1050"/>
      <c r="OCA19" s="1050"/>
      <c r="OCB19" s="1050"/>
      <c r="OCC19" s="1050"/>
      <c r="OCD19" s="1050"/>
      <c r="OCE19" s="1050"/>
      <c r="OCF19" s="1050"/>
      <c r="OCG19" s="1050"/>
      <c r="OCH19" s="1050"/>
      <c r="OCI19" s="1050"/>
      <c r="OCJ19" s="1050"/>
      <c r="OCK19" s="1050"/>
      <c r="OCL19" s="1050"/>
      <c r="OCM19" s="1050"/>
      <c r="OCN19" s="1050"/>
      <c r="OCO19" s="1050"/>
      <c r="OCP19" s="1050"/>
      <c r="OCQ19" s="1050"/>
      <c r="OCR19" s="1050"/>
      <c r="OCS19" s="1050"/>
      <c r="OCT19" s="1050"/>
      <c r="OCU19" s="1050"/>
      <c r="OCV19" s="1050"/>
      <c r="OCW19" s="1050"/>
      <c r="OCX19" s="1050"/>
      <c r="OCY19" s="1050"/>
      <c r="OCZ19" s="1050"/>
      <c r="ODA19" s="1050"/>
      <c r="ODB19" s="1050"/>
      <c r="ODC19" s="1050"/>
      <c r="ODD19" s="1050"/>
      <c r="ODE19" s="1050"/>
      <c r="ODF19" s="1050"/>
      <c r="ODG19" s="1050"/>
      <c r="ODH19" s="1050"/>
      <c r="ODI19" s="1050"/>
      <c r="ODJ19" s="1050"/>
      <c r="ODK19" s="1050"/>
      <c r="ODL19" s="1050"/>
      <c r="ODM19" s="1050"/>
      <c r="ODN19" s="1050"/>
      <c r="ODO19" s="1050"/>
      <c r="ODP19" s="1050"/>
      <c r="ODQ19" s="1050"/>
      <c r="ODR19" s="1050"/>
      <c r="ODS19" s="1050"/>
      <c r="ODT19" s="1050"/>
      <c r="ODU19" s="1050"/>
      <c r="ODV19" s="1050"/>
      <c r="ODW19" s="1050"/>
      <c r="ODX19" s="1050"/>
      <c r="ODY19" s="1050"/>
      <c r="ODZ19" s="1050"/>
      <c r="OEA19" s="1050"/>
      <c r="OEB19" s="1050"/>
      <c r="OEC19" s="1050"/>
      <c r="OED19" s="1050"/>
      <c r="OEE19" s="1050"/>
      <c r="OEF19" s="1050"/>
      <c r="OEG19" s="1050"/>
      <c r="OEH19" s="1050"/>
      <c r="OEI19" s="1050"/>
      <c r="OEJ19" s="1050"/>
      <c r="OEK19" s="1050"/>
      <c r="OEL19" s="1050"/>
      <c r="OEM19" s="1050"/>
      <c r="OEN19" s="1050"/>
      <c r="OEO19" s="1050"/>
      <c r="OEP19" s="1050"/>
      <c r="OEQ19" s="1050"/>
      <c r="OER19" s="1050"/>
      <c r="OES19" s="1050"/>
      <c r="OET19" s="1050"/>
      <c r="OEU19" s="1050"/>
      <c r="OEV19" s="1050"/>
      <c r="OEW19" s="1050"/>
      <c r="OEX19" s="1050"/>
      <c r="OEY19" s="1050"/>
      <c r="OEZ19" s="1050"/>
      <c r="OFA19" s="1050"/>
      <c r="OFB19" s="1050"/>
      <c r="OFC19" s="1050"/>
      <c r="OFD19" s="1050"/>
      <c r="OFE19" s="1050"/>
      <c r="OFF19" s="1050"/>
      <c r="OFG19" s="1050"/>
      <c r="OFH19" s="1050"/>
      <c r="OFI19" s="1050"/>
      <c r="OFJ19" s="1050"/>
      <c r="OFK19" s="1050"/>
      <c r="OFL19" s="1050"/>
      <c r="OFM19" s="1050"/>
      <c r="OFN19" s="1050"/>
      <c r="OFO19" s="1050"/>
      <c r="OFP19" s="1050"/>
      <c r="OFQ19" s="1050"/>
      <c r="OFR19" s="1050"/>
      <c r="OFS19" s="1050"/>
      <c r="OFT19" s="1050"/>
      <c r="OFU19" s="1050"/>
      <c r="OFV19" s="1050"/>
      <c r="OFW19" s="1050"/>
      <c r="OFX19" s="1050"/>
      <c r="OFY19" s="1050"/>
      <c r="OFZ19" s="1050"/>
      <c r="OGA19" s="1050"/>
      <c r="OGB19" s="1050"/>
      <c r="OGC19" s="1050"/>
      <c r="OGD19" s="1050"/>
      <c r="OGE19" s="1050"/>
      <c r="OGF19" s="1050"/>
      <c r="OGG19" s="1050"/>
      <c r="OGH19" s="1050"/>
      <c r="OGI19" s="1050"/>
      <c r="OGJ19" s="1050"/>
      <c r="OGK19" s="1050"/>
      <c r="OGL19" s="1050"/>
      <c r="OGM19" s="1050"/>
      <c r="OGN19" s="1050"/>
      <c r="OGO19" s="1050"/>
      <c r="OGP19" s="1050"/>
      <c r="OGQ19" s="1050"/>
      <c r="OGR19" s="1050"/>
      <c r="OGS19" s="1050"/>
      <c r="OGT19" s="1050"/>
      <c r="OGU19" s="1050"/>
      <c r="OGV19" s="1050"/>
      <c r="OGW19" s="1050"/>
      <c r="OGX19" s="1050"/>
      <c r="OGY19" s="1050"/>
      <c r="OGZ19" s="1050"/>
      <c r="OHA19" s="1050"/>
      <c r="OHB19" s="1050"/>
      <c r="OHC19" s="1050"/>
      <c r="OHD19" s="1050"/>
      <c r="OHE19" s="1050"/>
      <c r="OHF19" s="1050"/>
      <c r="OHG19" s="1050"/>
      <c r="OHH19" s="1050"/>
      <c r="OHI19" s="1050"/>
      <c r="OHJ19" s="1050"/>
      <c r="OHK19" s="1050"/>
      <c r="OHL19" s="1050"/>
      <c r="OHM19" s="1050"/>
      <c r="OHN19" s="1050"/>
      <c r="OHO19" s="1050"/>
      <c r="OHP19" s="1050"/>
      <c r="OHQ19" s="1050"/>
      <c r="OHR19" s="1050"/>
      <c r="OHS19" s="1050"/>
      <c r="OHT19" s="1050"/>
      <c r="OHU19" s="1050"/>
      <c r="OHV19" s="1050"/>
      <c r="OHW19" s="1050"/>
      <c r="OHX19" s="1050"/>
      <c r="OHY19" s="1050"/>
      <c r="OHZ19" s="1050"/>
      <c r="OIA19" s="1050"/>
      <c r="OIB19" s="1050"/>
      <c r="OIC19" s="1050"/>
      <c r="OID19" s="1050"/>
      <c r="OIE19" s="1050"/>
      <c r="OIF19" s="1050"/>
      <c r="OIG19" s="1050"/>
      <c r="OIH19" s="1050"/>
      <c r="OII19" s="1050"/>
      <c r="OIJ19" s="1050"/>
      <c r="OIK19" s="1050"/>
      <c r="OIL19" s="1050"/>
      <c r="OIM19" s="1050"/>
      <c r="OIN19" s="1050"/>
      <c r="OIO19" s="1050"/>
      <c r="OIP19" s="1050"/>
      <c r="OIQ19" s="1050"/>
      <c r="OIR19" s="1050"/>
      <c r="OIS19" s="1050"/>
      <c r="OIT19" s="1050"/>
      <c r="OIU19" s="1050"/>
      <c r="OIV19" s="1050"/>
      <c r="OIW19" s="1050"/>
      <c r="OIX19" s="1050"/>
      <c r="OIY19" s="1050"/>
      <c r="OIZ19" s="1050"/>
      <c r="OJA19" s="1050"/>
      <c r="OJB19" s="1050"/>
      <c r="OJC19" s="1050"/>
      <c r="OJD19" s="1050"/>
      <c r="OJE19" s="1050"/>
      <c r="OJF19" s="1050"/>
      <c r="OJG19" s="1050"/>
      <c r="OJH19" s="1050"/>
      <c r="OJI19" s="1050"/>
      <c r="OJJ19" s="1050"/>
      <c r="OJK19" s="1050"/>
      <c r="OJL19" s="1050"/>
      <c r="OJM19" s="1050"/>
      <c r="OJN19" s="1050"/>
      <c r="OJO19" s="1050"/>
      <c r="OJP19" s="1050"/>
      <c r="OJQ19" s="1050"/>
      <c r="OJR19" s="1050"/>
      <c r="OJS19" s="1050"/>
      <c r="OJT19" s="1050"/>
      <c r="OJU19" s="1050"/>
      <c r="OJV19" s="1050"/>
      <c r="OJW19" s="1050"/>
      <c r="OJX19" s="1050"/>
      <c r="OJY19" s="1050"/>
      <c r="OJZ19" s="1050"/>
      <c r="OKA19" s="1050"/>
      <c r="OKB19" s="1050"/>
      <c r="OKC19" s="1050"/>
      <c r="OKD19" s="1050"/>
      <c r="OKE19" s="1050"/>
      <c r="OKF19" s="1050"/>
      <c r="OKG19" s="1050"/>
      <c r="OKH19" s="1050"/>
      <c r="OKI19" s="1050"/>
      <c r="OKJ19" s="1050"/>
      <c r="OKK19" s="1050"/>
      <c r="OKL19" s="1050"/>
      <c r="OKM19" s="1050"/>
      <c r="OKN19" s="1050"/>
      <c r="OKO19" s="1050"/>
      <c r="OKP19" s="1050"/>
      <c r="OKQ19" s="1050"/>
      <c r="OKR19" s="1050"/>
      <c r="OKS19" s="1050"/>
      <c r="OKT19" s="1050"/>
      <c r="OKU19" s="1050"/>
      <c r="OKV19" s="1050"/>
      <c r="OKW19" s="1050"/>
      <c r="OKX19" s="1050"/>
      <c r="OKY19" s="1050"/>
      <c r="OKZ19" s="1050"/>
      <c r="OLA19" s="1050"/>
      <c r="OLB19" s="1050"/>
      <c r="OLC19" s="1050"/>
      <c r="OLD19" s="1050"/>
      <c r="OLE19" s="1050"/>
      <c r="OLF19" s="1050"/>
      <c r="OLG19" s="1050"/>
      <c r="OLH19" s="1050"/>
      <c r="OLI19" s="1050"/>
      <c r="OLJ19" s="1050"/>
      <c r="OLK19" s="1050"/>
      <c r="OLL19" s="1050"/>
      <c r="OLM19" s="1050"/>
      <c r="OLN19" s="1050"/>
      <c r="OLO19" s="1050"/>
      <c r="OLP19" s="1050"/>
      <c r="OLQ19" s="1050"/>
      <c r="OLR19" s="1050"/>
      <c r="OLS19" s="1050"/>
      <c r="OLT19" s="1050"/>
      <c r="OLU19" s="1050"/>
      <c r="OLV19" s="1050"/>
      <c r="OLW19" s="1050"/>
      <c r="OLX19" s="1050"/>
      <c r="OLY19" s="1050"/>
      <c r="OLZ19" s="1050"/>
      <c r="OMA19" s="1050"/>
      <c r="OMB19" s="1050"/>
      <c r="OMC19" s="1050"/>
      <c r="OMD19" s="1050"/>
      <c r="OME19" s="1050"/>
      <c r="OMF19" s="1050"/>
      <c r="OMG19" s="1050"/>
      <c r="OMH19" s="1050"/>
      <c r="OMI19" s="1050"/>
      <c r="OMJ19" s="1050"/>
      <c r="OMK19" s="1050"/>
      <c r="OML19" s="1050"/>
      <c r="OMM19" s="1050"/>
      <c r="OMN19" s="1050"/>
      <c r="OMO19" s="1050"/>
      <c r="OMP19" s="1050"/>
      <c r="OMQ19" s="1050"/>
      <c r="OMR19" s="1050"/>
      <c r="OMS19" s="1050"/>
      <c r="OMT19" s="1050"/>
      <c r="OMU19" s="1050"/>
      <c r="OMV19" s="1050"/>
      <c r="OMW19" s="1050"/>
      <c r="OMX19" s="1050"/>
      <c r="OMY19" s="1050"/>
      <c r="OMZ19" s="1050"/>
      <c r="ONA19" s="1050"/>
      <c r="ONB19" s="1050"/>
      <c r="ONC19" s="1050"/>
      <c r="OND19" s="1050"/>
      <c r="ONE19" s="1050"/>
      <c r="ONF19" s="1050"/>
      <c r="ONG19" s="1050"/>
      <c r="ONH19" s="1050"/>
      <c r="ONI19" s="1050"/>
      <c r="ONJ19" s="1050"/>
      <c r="ONK19" s="1050"/>
      <c r="ONL19" s="1050"/>
      <c r="ONM19" s="1050"/>
      <c r="ONN19" s="1050"/>
      <c r="ONO19" s="1050"/>
      <c r="ONP19" s="1050"/>
      <c r="ONQ19" s="1050"/>
      <c r="ONR19" s="1050"/>
      <c r="ONS19" s="1050"/>
      <c r="ONT19" s="1050"/>
      <c r="ONU19" s="1050"/>
      <c r="ONV19" s="1050"/>
      <c r="ONW19" s="1050"/>
      <c r="ONX19" s="1050"/>
      <c r="ONY19" s="1050"/>
      <c r="ONZ19" s="1050"/>
      <c r="OOA19" s="1050"/>
      <c r="OOB19" s="1050"/>
      <c r="OOC19" s="1050"/>
      <c r="OOD19" s="1050"/>
      <c r="OOE19" s="1050"/>
      <c r="OOF19" s="1050"/>
      <c r="OOG19" s="1050"/>
      <c r="OOH19" s="1050"/>
      <c r="OOI19" s="1050"/>
      <c r="OOJ19" s="1050"/>
      <c r="OOK19" s="1050"/>
      <c r="OOL19" s="1050"/>
      <c r="OOM19" s="1050"/>
      <c r="OON19" s="1050"/>
      <c r="OOO19" s="1050"/>
      <c r="OOP19" s="1050"/>
      <c r="OOQ19" s="1050"/>
      <c r="OOR19" s="1050"/>
      <c r="OOS19" s="1050"/>
      <c r="OOT19" s="1050"/>
      <c r="OOU19" s="1050"/>
      <c r="OOV19" s="1050"/>
      <c r="OOW19" s="1050"/>
      <c r="OOX19" s="1050"/>
      <c r="OOY19" s="1050"/>
      <c r="OOZ19" s="1050"/>
      <c r="OPA19" s="1050"/>
      <c r="OPB19" s="1050"/>
      <c r="OPC19" s="1050"/>
      <c r="OPD19" s="1050"/>
      <c r="OPE19" s="1050"/>
      <c r="OPF19" s="1050"/>
      <c r="OPG19" s="1050"/>
      <c r="OPH19" s="1050"/>
      <c r="OPI19" s="1050"/>
      <c r="OPJ19" s="1050"/>
      <c r="OPK19" s="1050"/>
      <c r="OPL19" s="1050"/>
      <c r="OPM19" s="1050"/>
      <c r="OPN19" s="1050"/>
      <c r="OPO19" s="1050"/>
      <c r="OPP19" s="1050"/>
      <c r="OPQ19" s="1050"/>
      <c r="OPR19" s="1050"/>
      <c r="OPS19" s="1050"/>
      <c r="OPT19" s="1050"/>
      <c r="OPU19" s="1050"/>
      <c r="OPV19" s="1050"/>
      <c r="OPW19" s="1050"/>
      <c r="OPX19" s="1050"/>
      <c r="OPY19" s="1050"/>
      <c r="OPZ19" s="1050"/>
      <c r="OQA19" s="1050"/>
      <c r="OQB19" s="1050"/>
      <c r="OQC19" s="1050"/>
      <c r="OQD19" s="1050"/>
      <c r="OQE19" s="1050"/>
      <c r="OQF19" s="1050"/>
      <c r="OQG19" s="1050"/>
      <c r="OQH19" s="1050"/>
      <c r="OQI19" s="1050"/>
      <c r="OQJ19" s="1050"/>
      <c r="OQK19" s="1050"/>
      <c r="OQL19" s="1050"/>
      <c r="OQM19" s="1050"/>
      <c r="OQN19" s="1050"/>
      <c r="OQO19" s="1050"/>
      <c r="OQP19" s="1050"/>
      <c r="OQQ19" s="1050"/>
      <c r="OQR19" s="1050"/>
      <c r="OQS19" s="1050"/>
      <c r="OQT19" s="1050"/>
      <c r="OQU19" s="1050"/>
      <c r="OQV19" s="1050"/>
      <c r="OQW19" s="1050"/>
      <c r="OQX19" s="1050"/>
      <c r="OQY19" s="1050"/>
      <c r="OQZ19" s="1050"/>
      <c r="ORA19" s="1050"/>
      <c r="ORB19" s="1050"/>
      <c r="ORC19" s="1050"/>
      <c r="ORD19" s="1050"/>
      <c r="ORE19" s="1050"/>
      <c r="ORF19" s="1050"/>
      <c r="ORG19" s="1050"/>
      <c r="ORH19" s="1050"/>
      <c r="ORI19" s="1050"/>
      <c r="ORJ19" s="1050"/>
      <c r="ORK19" s="1050"/>
      <c r="ORL19" s="1050"/>
      <c r="ORM19" s="1050"/>
      <c r="ORN19" s="1050"/>
      <c r="ORO19" s="1050"/>
      <c r="ORP19" s="1050"/>
      <c r="ORQ19" s="1050"/>
      <c r="ORR19" s="1050"/>
      <c r="ORS19" s="1050"/>
      <c r="ORT19" s="1050"/>
      <c r="ORU19" s="1050"/>
      <c r="ORV19" s="1050"/>
      <c r="ORW19" s="1050"/>
      <c r="ORX19" s="1050"/>
      <c r="ORY19" s="1050"/>
      <c r="ORZ19" s="1050"/>
      <c r="OSA19" s="1050"/>
      <c r="OSB19" s="1050"/>
      <c r="OSC19" s="1050"/>
      <c r="OSD19" s="1050"/>
      <c r="OSE19" s="1050"/>
      <c r="OSF19" s="1050"/>
      <c r="OSG19" s="1050"/>
      <c r="OSH19" s="1050"/>
      <c r="OSI19" s="1050"/>
      <c r="OSJ19" s="1050"/>
      <c r="OSK19" s="1050"/>
      <c r="OSL19" s="1050"/>
      <c r="OSM19" s="1050"/>
      <c r="OSN19" s="1050"/>
      <c r="OSO19" s="1050"/>
      <c r="OSP19" s="1050"/>
      <c r="OSQ19" s="1050"/>
      <c r="OSR19" s="1050"/>
      <c r="OSS19" s="1050"/>
      <c r="OST19" s="1050"/>
      <c r="OSU19" s="1050"/>
      <c r="OSV19" s="1050"/>
      <c r="OSW19" s="1050"/>
      <c r="OSX19" s="1050"/>
      <c r="OSY19" s="1050"/>
      <c r="OSZ19" s="1050"/>
      <c r="OTA19" s="1050"/>
      <c r="OTB19" s="1050"/>
      <c r="OTC19" s="1050"/>
      <c r="OTD19" s="1050"/>
      <c r="OTE19" s="1050"/>
      <c r="OTF19" s="1050"/>
      <c r="OTG19" s="1050"/>
      <c r="OTH19" s="1050"/>
      <c r="OTI19" s="1050"/>
      <c r="OTJ19" s="1050"/>
      <c r="OTK19" s="1050"/>
      <c r="OTL19" s="1050"/>
      <c r="OTM19" s="1050"/>
      <c r="OTN19" s="1050"/>
      <c r="OTO19" s="1050"/>
      <c r="OTP19" s="1050"/>
      <c r="OTQ19" s="1050"/>
      <c r="OTR19" s="1050"/>
      <c r="OTS19" s="1050"/>
      <c r="OTT19" s="1050"/>
      <c r="OTU19" s="1050"/>
      <c r="OTV19" s="1050"/>
      <c r="OTW19" s="1050"/>
      <c r="OTX19" s="1050"/>
      <c r="OTY19" s="1050"/>
      <c r="OTZ19" s="1050"/>
      <c r="OUA19" s="1050"/>
      <c r="OUB19" s="1050"/>
      <c r="OUC19" s="1050"/>
      <c r="OUD19" s="1050"/>
      <c r="OUE19" s="1050"/>
      <c r="OUF19" s="1050"/>
      <c r="OUG19" s="1050"/>
      <c r="OUH19" s="1050"/>
      <c r="OUI19" s="1050"/>
      <c r="OUJ19" s="1050"/>
      <c r="OUK19" s="1050"/>
      <c r="OUL19" s="1050"/>
      <c r="OUM19" s="1050"/>
      <c r="OUN19" s="1050"/>
      <c r="OUO19" s="1050"/>
      <c r="OUP19" s="1050"/>
      <c r="OUQ19" s="1050"/>
      <c r="OUR19" s="1050"/>
      <c r="OUS19" s="1050"/>
      <c r="OUT19" s="1050"/>
      <c r="OUU19" s="1050"/>
      <c r="OUV19" s="1050"/>
      <c r="OUW19" s="1050"/>
      <c r="OUX19" s="1050"/>
      <c r="OUY19" s="1050"/>
      <c r="OUZ19" s="1050"/>
      <c r="OVA19" s="1050"/>
      <c r="OVB19" s="1050"/>
      <c r="OVC19" s="1050"/>
      <c r="OVD19" s="1050"/>
      <c r="OVE19" s="1050"/>
      <c r="OVF19" s="1050"/>
      <c r="OVG19" s="1050"/>
      <c r="OVH19" s="1050"/>
      <c r="OVI19" s="1050"/>
      <c r="OVJ19" s="1050"/>
      <c r="OVK19" s="1050"/>
      <c r="OVL19" s="1050"/>
      <c r="OVM19" s="1050"/>
      <c r="OVN19" s="1050"/>
      <c r="OVO19" s="1050"/>
      <c r="OVP19" s="1050"/>
      <c r="OVQ19" s="1050"/>
      <c r="OVR19" s="1050"/>
      <c r="OVS19" s="1050"/>
      <c r="OVT19" s="1050"/>
      <c r="OVU19" s="1050"/>
      <c r="OVV19" s="1050"/>
      <c r="OVW19" s="1050"/>
      <c r="OVX19" s="1050"/>
      <c r="OVY19" s="1050"/>
      <c r="OVZ19" s="1050"/>
      <c r="OWA19" s="1050"/>
      <c r="OWB19" s="1050"/>
      <c r="OWC19" s="1050"/>
      <c r="OWD19" s="1050"/>
      <c r="OWE19" s="1050"/>
      <c r="OWF19" s="1050"/>
      <c r="OWG19" s="1050"/>
      <c r="OWH19" s="1050"/>
      <c r="OWI19" s="1050"/>
      <c r="OWJ19" s="1050"/>
      <c r="OWK19" s="1050"/>
      <c r="OWL19" s="1050"/>
      <c r="OWM19" s="1050"/>
      <c r="OWN19" s="1050"/>
      <c r="OWO19" s="1050"/>
      <c r="OWP19" s="1050"/>
      <c r="OWQ19" s="1050"/>
      <c r="OWR19" s="1050"/>
      <c r="OWS19" s="1050"/>
      <c r="OWT19" s="1050"/>
      <c r="OWU19" s="1050"/>
      <c r="OWV19" s="1050"/>
      <c r="OWW19" s="1050"/>
      <c r="OWX19" s="1050"/>
      <c r="OWY19" s="1050"/>
      <c r="OWZ19" s="1050"/>
      <c r="OXA19" s="1050"/>
      <c r="OXB19" s="1050"/>
      <c r="OXC19" s="1050"/>
      <c r="OXD19" s="1050"/>
      <c r="OXE19" s="1050"/>
      <c r="OXF19" s="1050"/>
      <c r="OXG19" s="1050"/>
      <c r="OXH19" s="1050"/>
      <c r="OXI19" s="1050"/>
      <c r="OXJ19" s="1050"/>
      <c r="OXK19" s="1050"/>
      <c r="OXL19" s="1050"/>
      <c r="OXM19" s="1050"/>
      <c r="OXN19" s="1050"/>
      <c r="OXO19" s="1050"/>
      <c r="OXP19" s="1050"/>
      <c r="OXQ19" s="1050"/>
      <c r="OXR19" s="1050"/>
      <c r="OXS19" s="1050"/>
      <c r="OXT19" s="1050"/>
      <c r="OXU19" s="1050"/>
      <c r="OXV19" s="1050"/>
      <c r="OXW19" s="1050"/>
      <c r="OXX19" s="1050"/>
      <c r="OXY19" s="1050"/>
      <c r="OXZ19" s="1050"/>
      <c r="OYA19" s="1050"/>
      <c r="OYB19" s="1050"/>
      <c r="OYC19" s="1050"/>
      <c r="OYD19" s="1050"/>
      <c r="OYE19" s="1050"/>
      <c r="OYF19" s="1050"/>
      <c r="OYG19" s="1050"/>
      <c r="OYH19" s="1050"/>
      <c r="OYI19" s="1050"/>
      <c r="OYJ19" s="1050"/>
      <c r="OYK19" s="1050"/>
      <c r="OYL19" s="1050"/>
      <c r="OYM19" s="1050"/>
      <c r="OYN19" s="1050"/>
      <c r="OYO19" s="1050"/>
      <c r="OYP19" s="1050"/>
      <c r="OYQ19" s="1050"/>
      <c r="OYR19" s="1050"/>
      <c r="OYS19" s="1050"/>
      <c r="OYT19" s="1050"/>
      <c r="OYU19" s="1050"/>
      <c r="OYV19" s="1050"/>
      <c r="OYW19" s="1050"/>
      <c r="OYX19" s="1050"/>
      <c r="OYY19" s="1050"/>
      <c r="OYZ19" s="1050"/>
      <c r="OZA19" s="1050"/>
      <c r="OZB19" s="1050"/>
      <c r="OZC19" s="1050"/>
      <c r="OZD19" s="1050"/>
      <c r="OZE19" s="1050"/>
      <c r="OZF19" s="1050"/>
      <c r="OZG19" s="1050"/>
      <c r="OZH19" s="1050"/>
      <c r="OZI19" s="1050"/>
      <c r="OZJ19" s="1050"/>
      <c r="OZK19" s="1050"/>
      <c r="OZL19" s="1050"/>
      <c r="OZM19" s="1050"/>
      <c r="OZN19" s="1050"/>
      <c r="OZO19" s="1050"/>
      <c r="OZP19" s="1050"/>
      <c r="OZQ19" s="1050"/>
      <c r="OZR19" s="1050"/>
      <c r="OZS19" s="1050"/>
      <c r="OZT19" s="1050"/>
      <c r="OZU19" s="1050"/>
      <c r="OZV19" s="1050"/>
      <c r="OZW19" s="1050"/>
      <c r="OZX19" s="1050"/>
      <c r="OZY19" s="1050"/>
      <c r="OZZ19" s="1050"/>
      <c r="PAA19" s="1050"/>
      <c r="PAB19" s="1050"/>
      <c r="PAC19" s="1050"/>
      <c r="PAD19" s="1050"/>
      <c r="PAE19" s="1050"/>
      <c r="PAF19" s="1050"/>
      <c r="PAG19" s="1050"/>
      <c r="PAH19" s="1050"/>
      <c r="PAI19" s="1050"/>
      <c r="PAJ19" s="1050"/>
      <c r="PAK19" s="1050"/>
      <c r="PAL19" s="1050"/>
      <c r="PAM19" s="1050"/>
      <c r="PAN19" s="1050"/>
      <c r="PAO19" s="1050"/>
      <c r="PAP19" s="1050"/>
      <c r="PAQ19" s="1050"/>
      <c r="PAR19" s="1050"/>
      <c r="PAS19" s="1050"/>
      <c r="PAT19" s="1050"/>
      <c r="PAU19" s="1050"/>
      <c r="PAV19" s="1050"/>
      <c r="PAW19" s="1050"/>
      <c r="PAX19" s="1050"/>
      <c r="PAY19" s="1050"/>
      <c r="PAZ19" s="1050"/>
      <c r="PBA19" s="1050"/>
      <c r="PBB19" s="1050"/>
      <c r="PBC19" s="1050"/>
      <c r="PBD19" s="1050"/>
      <c r="PBE19" s="1050"/>
      <c r="PBF19" s="1050"/>
      <c r="PBG19" s="1050"/>
      <c r="PBH19" s="1050"/>
      <c r="PBI19" s="1050"/>
      <c r="PBJ19" s="1050"/>
      <c r="PBK19" s="1050"/>
      <c r="PBL19" s="1050"/>
      <c r="PBM19" s="1050"/>
      <c r="PBN19" s="1050"/>
      <c r="PBO19" s="1050"/>
      <c r="PBP19" s="1050"/>
      <c r="PBQ19" s="1050"/>
      <c r="PBR19" s="1050"/>
      <c r="PBS19" s="1050"/>
      <c r="PBT19" s="1050"/>
      <c r="PBU19" s="1050"/>
      <c r="PBV19" s="1050"/>
      <c r="PBW19" s="1050"/>
      <c r="PBX19" s="1050"/>
      <c r="PBY19" s="1050"/>
      <c r="PBZ19" s="1050"/>
      <c r="PCA19" s="1050"/>
      <c r="PCB19" s="1050"/>
      <c r="PCC19" s="1050"/>
      <c r="PCD19" s="1050"/>
      <c r="PCE19" s="1050"/>
      <c r="PCF19" s="1050"/>
      <c r="PCG19" s="1050"/>
      <c r="PCH19" s="1050"/>
      <c r="PCI19" s="1050"/>
      <c r="PCJ19" s="1050"/>
      <c r="PCK19" s="1050"/>
      <c r="PCL19" s="1050"/>
      <c r="PCM19" s="1050"/>
      <c r="PCN19" s="1050"/>
      <c r="PCO19" s="1050"/>
      <c r="PCP19" s="1050"/>
      <c r="PCQ19" s="1050"/>
      <c r="PCR19" s="1050"/>
      <c r="PCS19" s="1050"/>
      <c r="PCT19" s="1050"/>
      <c r="PCU19" s="1050"/>
      <c r="PCV19" s="1050"/>
      <c r="PCW19" s="1050"/>
      <c r="PCX19" s="1050"/>
      <c r="PCY19" s="1050"/>
      <c r="PCZ19" s="1050"/>
      <c r="PDA19" s="1050"/>
      <c r="PDB19" s="1050"/>
      <c r="PDC19" s="1050"/>
      <c r="PDD19" s="1050"/>
      <c r="PDE19" s="1050"/>
      <c r="PDF19" s="1050"/>
      <c r="PDG19" s="1050"/>
      <c r="PDH19" s="1050"/>
      <c r="PDI19" s="1050"/>
      <c r="PDJ19" s="1050"/>
      <c r="PDK19" s="1050"/>
      <c r="PDL19" s="1050"/>
      <c r="PDM19" s="1050"/>
      <c r="PDN19" s="1050"/>
      <c r="PDO19" s="1050"/>
      <c r="PDP19" s="1050"/>
      <c r="PDQ19" s="1050"/>
      <c r="PDR19" s="1050"/>
      <c r="PDS19" s="1050"/>
      <c r="PDT19" s="1050"/>
      <c r="PDU19" s="1050"/>
      <c r="PDV19" s="1050"/>
      <c r="PDW19" s="1050"/>
      <c r="PDX19" s="1050"/>
      <c r="PDY19" s="1050"/>
      <c r="PDZ19" s="1050"/>
      <c r="PEA19" s="1050"/>
      <c r="PEB19" s="1050"/>
      <c r="PEC19" s="1050"/>
      <c r="PED19" s="1050"/>
      <c r="PEE19" s="1050"/>
      <c r="PEF19" s="1050"/>
      <c r="PEG19" s="1050"/>
      <c r="PEH19" s="1050"/>
      <c r="PEI19" s="1050"/>
      <c r="PEJ19" s="1050"/>
      <c r="PEK19" s="1050"/>
      <c r="PEL19" s="1050"/>
      <c r="PEM19" s="1050"/>
      <c r="PEN19" s="1050"/>
      <c r="PEO19" s="1050"/>
      <c r="PEP19" s="1050"/>
      <c r="PEQ19" s="1050"/>
      <c r="PER19" s="1050"/>
      <c r="PES19" s="1050"/>
      <c r="PET19" s="1050"/>
      <c r="PEU19" s="1050"/>
      <c r="PEV19" s="1050"/>
      <c r="PEW19" s="1050"/>
      <c r="PEX19" s="1050"/>
      <c r="PEY19" s="1050"/>
      <c r="PEZ19" s="1050"/>
      <c r="PFA19" s="1050"/>
      <c r="PFB19" s="1050"/>
      <c r="PFC19" s="1050"/>
      <c r="PFD19" s="1050"/>
      <c r="PFE19" s="1050"/>
      <c r="PFF19" s="1050"/>
      <c r="PFG19" s="1050"/>
      <c r="PFH19" s="1050"/>
      <c r="PFI19" s="1050"/>
      <c r="PFJ19" s="1050"/>
      <c r="PFK19" s="1050"/>
      <c r="PFL19" s="1050"/>
      <c r="PFM19" s="1050"/>
      <c r="PFN19" s="1050"/>
      <c r="PFO19" s="1050"/>
      <c r="PFP19" s="1050"/>
      <c r="PFQ19" s="1050"/>
      <c r="PFR19" s="1050"/>
      <c r="PFS19" s="1050"/>
      <c r="PFT19" s="1050"/>
      <c r="PFU19" s="1050"/>
      <c r="PFV19" s="1050"/>
      <c r="PFW19" s="1050"/>
      <c r="PFX19" s="1050"/>
      <c r="PFY19" s="1050"/>
      <c r="PFZ19" s="1050"/>
      <c r="PGA19" s="1050"/>
      <c r="PGB19" s="1050"/>
      <c r="PGC19" s="1050"/>
      <c r="PGD19" s="1050"/>
      <c r="PGE19" s="1050"/>
      <c r="PGF19" s="1050"/>
      <c r="PGG19" s="1050"/>
      <c r="PGH19" s="1050"/>
      <c r="PGI19" s="1050"/>
      <c r="PGJ19" s="1050"/>
      <c r="PGK19" s="1050"/>
      <c r="PGL19" s="1050"/>
      <c r="PGM19" s="1050"/>
      <c r="PGN19" s="1050"/>
      <c r="PGO19" s="1050"/>
      <c r="PGP19" s="1050"/>
      <c r="PGQ19" s="1050"/>
      <c r="PGR19" s="1050"/>
      <c r="PGS19" s="1050"/>
      <c r="PGT19" s="1050"/>
      <c r="PGU19" s="1050"/>
      <c r="PGV19" s="1050"/>
      <c r="PGW19" s="1050"/>
      <c r="PGX19" s="1050"/>
      <c r="PGY19" s="1050"/>
      <c r="PGZ19" s="1050"/>
      <c r="PHA19" s="1050"/>
      <c r="PHB19" s="1050"/>
      <c r="PHC19" s="1050"/>
      <c r="PHD19" s="1050"/>
      <c r="PHE19" s="1050"/>
      <c r="PHF19" s="1050"/>
      <c r="PHG19" s="1050"/>
      <c r="PHH19" s="1050"/>
      <c r="PHI19" s="1050"/>
      <c r="PHJ19" s="1050"/>
      <c r="PHK19" s="1050"/>
      <c r="PHL19" s="1050"/>
      <c r="PHM19" s="1050"/>
      <c r="PHN19" s="1050"/>
      <c r="PHO19" s="1050"/>
      <c r="PHP19" s="1050"/>
      <c r="PHQ19" s="1050"/>
      <c r="PHR19" s="1050"/>
      <c r="PHS19" s="1050"/>
      <c r="PHT19" s="1050"/>
      <c r="PHU19" s="1050"/>
      <c r="PHV19" s="1050"/>
      <c r="PHW19" s="1050"/>
      <c r="PHX19" s="1050"/>
      <c r="PHY19" s="1050"/>
      <c r="PHZ19" s="1050"/>
      <c r="PIA19" s="1050"/>
      <c r="PIB19" s="1050"/>
      <c r="PIC19" s="1050"/>
      <c r="PID19" s="1050"/>
      <c r="PIE19" s="1050"/>
      <c r="PIF19" s="1050"/>
      <c r="PIG19" s="1050"/>
      <c r="PIH19" s="1050"/>
      <c r="PII19" s="1050"/>
      <c r="PIJ19" s="1050"/>
      <c r="PIK19" s="1050"/>
      <c r="PIL19" s="1050"/>
      <c r="PIM19" s="1050"/>
      <c r="PIN19" s="1050"/>
      <c r="PIO19" s="1050"/>
      <c r="PIP19" s="1050"/>
      <c r="PIQ19" s="1050"/>
      <c r="PIR19" s="1050"/>
      <c r="PIS19" s="1050"/>
      <c r="PIT19" s="1050"/>
      <c r="PIU19" s="1050"/>
      <c r="PIV19" s="1050"/>
      <c r="PIW19" s="1050"/>
      <c r="PIX19" s="1050"/>
      <c r="PIY19" s="1050"/>
      <c r="PIZ19" s="1050"/>
      <c r="PJA19" s="1050"/>
      <c r="PJB19" s="1050"/>
      <c r="PJC19" s="1050"/>
      <c r="PJD19" s="1050"/>
      <c r="PJE19" s="1050"/>
      <c r="PJF19" s="1050"/>
      <c r="PJG19" s="1050"/>
      <c r="PJH19" s="1050"/>
      <c r="PJI19" s="1050"/>
      <c r="PJJ19" s="1050"/>
      <c r="PJK19" s="1050"/>
      <c r="PJL19" s="1050"/>
      <c r="PJM19" s="1050"/>
      <c r="PJN19" s="1050"/>
      <c r="PJO19" s="1050"/>
      <c r="PJP19" s="1050"/>
      <c r="PJQ19" s="1050"/>
      <c r="PJR19" s="1050"/>
      <c r="PJS19" s="1050"/>
      <c r="PJT19" s="1050"/>
      <c r="PJU19" s="1050"/>
      <c r="PJV19" s="1050"/>
      <c r="PJW19" s="1050"/>
      <c r="PJX19" s="1050"/>
      <c r="PJY19" s="1050"/>
      <c r="PJZ19" s="1050"/>
      <c r="PKA19" s="1050"/>
      <c r="PKB19" s="1050"/>
      <c r="PKC19" s="1050"/>
      <c r="PKD19" s="1050"/>
      <c r="PKE19" s="1050"/>
      <c r="PKF19" s="1050"/>
      <c r="PKG19" s="1050"/>
      <c r="PKH19" s="1050"/>
      <c r="PKI19" s="1050"/>
      <c r="PKJ19" s="1050"/>
      <c r="PKK19" s="1050"/>
      <c r="PKL19" s="1050"/>
      <c r="PKM19" s="1050"/>
      <c r="PKN19" s="1050"/>
      <c r="PKO19" s="1050"/>
      <c r="PKP19" s="1050"/>
      <c r="PKQ19" s="1050"/>
      <c r="PKR19" s="1050"/>
      <c r="PKS19" s="1050"/>
      <c r="PKT19" s="1050"/>
      <c r="PKU19" s="1050"/>
      <c r="PKV19" s="1050"/>
      <c r="PKW19" s="1050"/>
      <c r="PKX19" s="1050"/>
      <c r="PKY19" s="1050"/>
      <c r="PKZ19" s="1050"/>
      <c r="PLA19" s="1050"/>
      <c r="PLB19" s="1050"/>
      <c r="PLC19" s="1050"/>
      <c r="PLD19" s="1050"/>
      <c r="PLE19" s="1050"/>
      <c r="PLF19" s="1050"/>
      <c r="PLG19" s="1050"/>
      <c r="PLH19" s="1050"/>
      <c r="PLI19" s="1050"/>
      <c r="PLJ19" s="1050"/>
      <c r="PLK19" s="1050"/>
      <c r="PLL19" s="1050"/>
      <c r="PLM19" s="1050"/>
      <c r="PLN19" s="1050"/>
      <c r="PLO19" s="1050"/>
      <c r="PLP19" s="1050"/>
      <c r="PLQ19" s="1050"/>
      <c r="PLR19" s="1050"/>
      <c r="PLS19" s="1050"/>
      <c r="PLT19" s="1050"/>
      <c r="PLU19" s="1050"/>
      <c r="PLV19" s="1050"/>
      <c r="PLW19" s="1050"/>
      <c r="PLX19" s="1050"/>
      <c r="PLY19" s="1050"/>
      <c r="PLZ19" s="1050"/>
      <c r="PMA19" s="1050"/>
      <c r="PMB19" s="1050"/>
      <c r="PMC19" s="1050"/>
      <c r="PMD19" s="1050"/>
      <c r="PME19" s="1050"/>
      <c r="PMF19" s="1050"/>
      <c r="PMG19" s="1050"/>
      <c r="PMH19" s="1050"/>
      <c r="PMI19" s="1050"/>
      <c r="PMJ19" s="1050"/>
      <c r="PMK19" s="1050"/>
      <c r="PML19" s="1050"/>
      <c r="PMM19" s="1050"/>
      <c r="PMN19" s="1050"/>
      <c r="PMO19" s="1050"/>
      <c r="PMP19" s="1050"/>
      <c r="PMQ19" s="1050"/>
      <c r="PMR19" s="1050"/>
      <c r="PMS19" s="1050"/>
      <c r="PMT19" s="1050"/>
      <c r="PMU19" s="1050"/>
      <c r="PMV19" s="1050"/>
      <c r="PMW19" s="1050"/>
      <c r="PMX19" s="1050"/>
      <c r="PMY19" s="1050"/>
      <c r="PMZ19" s="1050"/>
      <c r="PNA19" s="1050"/>
      <c r="PNB19" s="1050"/>
      <c r="PNC19" s="1050"/>
      <c r="PND19" s="1050"/>
      <c r="PNE19" s="1050"/>
      <c r="PNF19" s="1050"/>
      <c r="PNG19" s="1050"/>
      <c r="PNH19" s="1050"/>
      <c r="PNI19" s="1050"/>
      <c r="PNJ19" s="1050"/>
      <c r="PNK19" s="1050"/>
      <c r="PNL19" s="1050"/>
      <c r="PNM19" s="1050"/>
      <c r="PNN19" s="1050"/>
      <c r="PNO19" s="1050"/>
      <c r="PNP19" s="1050"/>
      <c r="PNQ19" s="1050"/>
      <c r="PNR19" s="1050"/>
      <c r="PNS19" s="1050"/>
      <c r="PNT19" s="1050"/>
      <c r="PNU19" s="1050"/>
      <c r="PNV19" s="1050"/>
      <c r="PNW19" s="1050"/>
      <c r="PNX19" s="1050"/>
      <c r="PNY19" s="1050"/>
      <c r="PNZ19" s="1050"/>
      <c r="POA19" s="1050"/>
      <c r="POB19" s="1050"/>
      <c r="POC19" s="1050"/>
      <c r="POD19" s="1050"/>
      <c r="POE19" s="1050"/>
      <c r="POF19" s="1050"/>
      <c r="POG19" s="1050"/>
      <c r="POH19" s="1050"/>
      <c r="POI19" s="1050"/>
      <c r="POJ19" s="1050"/>
      <c r="POK19" s="1050"/>
      <c r="POL19" s="1050"/>
      <c r="POM19" s="1050"/>
      <c r="PON19" s="1050"/>
      <c r="POO19" s="1050"/>
      <c r="POP19" s="1050"/>
      <c r="POQ19" s="1050"/>
      <c r="POR19" s="1050"/>
      <c r="POS19" s="1050"/>
      <c r="POT19" s="1050"/>
      <c r="POU19" s="1050"/>
      <c r="POV19" s="1050"/>
      <c r="POW19" s="1050"/>
      <c r="POX19" s="1050"/>
      <c r="POY19" s="1050"/>
      <c r="POZ19" s="1050"/>
      <c r="PPA19" s="1050"/>
      <c r="PPB19" s="1050"/>
      <c r="PPC19" s="1050"/>
      <c r="PPD19" s="1050"/>
      <c r="PPE19" s="1050"/>
      <c r="PPF19" s="1050"/>
      <c r="PPG19" s="1050"/>
      <c r="PPH19" s="1050"/>
      <c r="PPI19" s="1050"/>
      <c r="PPJ19" s="1050"/>
      <c r="PPK19" s="1050"/>
      <c r="PPL19" s="1050"/>
      <c r="PPM19" s="1050"/>
      <c r="PPN19" s="1050"/>
      <c r="PPO19" s="1050"/>
      <c r="PPP19" s="1050"/>
      <c r="PPQ19" s="1050"/>
      <c r="PPR19" s="1050"/>
      <c r="PPS19" s="1050"/>
      <c r="PPT19" s="1050"/>
      <c r="PPU19" s="1050"/>
      <c r="PPV19" s="1050"/>
      <c r="PPW19" s="1050"/>
      <c r="PPX19" s="1050"/>
      <c r="PPY19" s="1050"/>
      <c r="PPZ19" s="1050"/>
      <c r="PQA19" s="1050"/>
      <c r="PQB19" s="1050"/>
      <c r="PQC19" s="1050"/>
      <c r="PQD19" s="1050"/>
      <c r="PQE19" s="1050"/>
      <c r="PQF19" s="1050"/>
      <c r="PQG19" s="1050"/>
      <c r="PQH19" s="1050"/>
      <c r="PQI19" s="1050"/>
      <c r="PQJ19" s="1050"/>
      <c r="PQK19" s="1050"/>
      <c r="PQL19" s="1050"/>
      <c r="PQM19" s="1050"/>
      <c r="PQN19" s="1050"/>
      <c r="PQO19" s="1050"/>
      <c r="PQP19" s="1050"/>
      <c r="PQQ19" s="1050"/>
      <c r="PQR19" s="1050"/>
      <c r="PQS19" s="1050"/>
      <c r="PQT19" s="1050"/>
      <c r="PQU19" s="1050"/>
      <c r="PQV19" s="1050"/>
      <c r="PQW19" s="1050"/>
      <c r="PQX19" s="1050"/>
      <c r="PQY19" s="1050"/>
      <c r="PQZ19" s="1050"/>
      <c r="PRA19" s="1050"/>
      <c r="PRB19" s="1050"/>
      <c r="PRC19" s="1050"/>
      <c r="PRD19" s="1050"/>
      <c r="PRE19" s="1050"/>
      <c r="PRF19" s="1050"/>
      <c r="PRG19" s="1050"/>
      <c r="PRH19" s="1050"/>
      <c r="PRI19" s="1050"/>
      <c r="PRJ19" s="1050"/>
      <c r="PRK19" s="1050"/>
      <c r="PRL19" s="1050"/>
      <c r="PRM19" s="1050"/>
      <c r="PRN19" s="1050"/>
      <c r="PRO19" s="1050"/>
      <c r="PRP19" s="1050"/>
      <c r="PRQ19" s="1050"/>
      <c r="PRR19" s="1050"/>
      <c r="PRS19" s="1050"/>
      <c r="PRT19" s="1050"/>
      <c r="PRU19" s="1050"/>
      <c r="PRV19" s="1050"/>
      <c r="PRW19" s="1050"/>
      <c r="PRX19" s="1050"/>
      <c r="PRY19" s="1050"/>
      <c r="PRZ19" s="1050"/>
      <c r="PSA19" s="1050"/>
      <c r="PSB19" s="1050"/>
      <c r="PSC19" s="1050"/>
      <c r="PSD19" s="1050"/>
      <c r="PSE19" s="1050"/>
      <c r="PSF19" s="1050"/>
      <c r="PSG19" s="1050"/>
      <c r="PSH19" s="1050"/>
      <c r="PSI19" s="1050"/>
      <c r="PSJ19" s="1050"/>
      <c r="PSK19" s="1050"/>
      <c r="PSL19" s="1050"/>
      <c r="PSM19" s="1050"/>
      <c r="PSN19" s="1050"/>
      <c r="PSO19" s="1050"/>
      <c r="PSP19" s="1050"/>
      <c r="PSQ19" s="1050"/>
      <c r="PSR19" s="1050"/>
      <c r="PSS19" s="1050"/>
      <c r="PST19" s="1050"/>
      <c r="PSU19" s="1050"/>
      <c r="PSV19" s="1050"/>
      <c r="PSW19" s="1050"/>
      <c r="PSX19" s="1050"/>
      <c r="PSY19" s="1050"/>
      <c r="PSZ19" s="1050"/>
      <c r="PTA19" s="1050"/>
      <c r="PTB19" s="1050"/>
      <c r="PTC19" s="1050"/>
      <c r="PTD19" s="1050"/>
      <c r="PTE19" s="1050"/>
      <c r="PTF19" s="1050"/>
      <c r="PTG19" s="1050"/>
      <c r="PTH19" s="1050"/>
      <c r="PTI19" s="1050"/>
      <c r="PTJ19" s="1050"/>
      <c r="PTK19" s="1050"/>
      <c r="PTL19" s="1050"/>
      <c r="PTM19" s="1050"/>
      <c r="PTN19" s="1050"/>
      <c r="PTO19" s="1050"/>
      <c r="PTP19" s="1050"/>
      <c r="PTQ19" s="1050"/>
      <c r="PTR19" s="1050"/>
      <c r="PTS19" s="1050"/>
      <c r="PTT19" s="1050"/>
      <c r="PTU19" s="1050"/>
      <c r="PTV19" s="1050"/>
      <c r="PTW19" s="1050"/>
      <c r="PTX19" s="1050"/>
      <c r="PTY19" s="1050"/>
      <c r="PTZ19" s="1050"/>
      <c r="PUA19" s="1050"/>
      <c r="PUB19" s="1050"/>
      <c r="PUC19" s="1050"/>
      <c r="PUD19" s="1050"/>
      <c r="PUE19" s="1050"/>
      <c r="PUF19" s="1050"/>
      <c r="PUG19" s="1050"/>
      <c r="PUH19" s="1050"/>
      <c r="PUI19" s="1050"/>
      <c r="PUJ19" s="1050"/>
      <c r="PUK19" s="1050"/>
      <c r="PUL19" s="1050"/>
      <c r="PUM19" s="1050"/>
      <c r="PUN19" s="1050"/>
      <c r="PUO19" s="1050"/>
      <c r="PUP19" s="1050"/>
      <c r="PUQ19" s="1050"/>
      <c r="PUR19" s="1050"/>
      <c r="PUS19" s="1050"/>
      <c r="PUT19" s="1050"/>
      <c r="PUU19" s="1050"/>
      <c r="PUV19" s="1050"/>
      <c r="PUW19" s="1050"/>
      <c r="PUX19" s="1050"/>
      <c r="PUY19" s="1050"/>
      <c r="PUZ19" s="1050"/>
      <c r="PVA19" s="1050"/>
      <c r="PVB19" s="1050"/>
      <c r="PVC19" s="1050"/>
      <c r="PVD19" s="1050"/>
      <c r="PVE19" s="1050"/>
      <c r="PVF19" s="1050"/>
      <c r="PVG19" s="1050"/>
      <c r="PVH19" s="1050"/>
      <c r="PVI19" s="1050"/>
      <c r="PVJ19" s="1050"/>
      <c r="PVK19" s="1050"/>
      <c r="PVL19" s="1050"/>
      <c r="PVM19" s="1050"/>
      <c r="PVN19" s="1050"/>
      <c r="PVO19" s="1050"/>
      <c r="PVP19" s="1050"/>
      <c r="PVQ19" s="1050"/>
      <c r="PVR19" s="1050"/>
      <c r="PVS19" s="1050"/>
      <c r="PVT19" s="1050"/>
      <c r="PVU19" s="1050"/>
      <c r="PVV19" s="1050"/>
      <c r="PVW19" s="1050"/>
      <c r="PVX19" s="1050"/>
      <c r="PVY19" s="1050"/>
      <c r="PVZ19" s="1050"/>
      <c r="PWA19" s="1050"/>
      <c r="PWB19" s="1050"/>
      <c r="PWC19" s="1050"/>
      <c r="PWD19" s="1050"/>
      <c r="PWE19" s="1050"/>
      <c r="PWF19" s="1050"/>
      <c r="PWG19" s="1050"/>
      <c r="PWH19" s="1050"/>
      <c r="PWI19" s="1050"/>
      <c r="PWJ19" s="1050"/>
      <c r="PWK19" s="1050"/>
      <c r="PWL19" s="1050"/>
      <c r="PWM19" s="1050"/>
      <c r="PWN19" s="1050"/>
      <c r="PWO19" s="1050"/>
      <c r="PWP19" s="1050"/>
      <c r="PWQ19" s="1050"/>
      <c r="PWR19" s="1050"/>
      <c r="PWS19" s="1050"/>
      <c r="PWT19" s="1050"/>
      <c r="PWU19" s="1050"/>
      <c r="PWV19" s="1050"/>
      <c r="PWW19" s="1050"/>
      <c r="PWX19" s="1050"/>
      <c r="PWY19" s="1050"/>
      <c r="PWZ19" s="1050"/>
      <c r="PXA19" s="1050"/>
      <c r="PXB19" s="1050"/>
      <c r="PXC19" s="1050"/>
      <c r="PXD19" s="1050"/>
      <c r="PXE19" s="1050"/>
      <c r="PXF19" s="1050"/>
      <c r="PXG19" s="1050"/>
      <c r="PXH19" s="1050"/>
      <c r="PXI19" s="1050"/>
      <c r="PXJ19" s="1050"/>
      <c r="PXK19" s="1050"/>
      <c r="PXL19" s="1050"/>
      <c r="PXM19" s="1050"/>
      <c r="PXN19" s="1050"/>
      <c r="PXO19" s="1050"/>
      <c r="PXP19" s="1050"/>
      <c r="PXQ19" s="1050"/>
      <c r="PXR19" s="1050"/>
      <c r="PXS19" s="1050"/>
      <c r="PXT19" s="1050"/>
      <c r="PXU19" s="1050"/>
      <c r="PXV19" s="1050"/>
      <c r="PXW19" s="1050"/>
      <c r="PXX19" s="1050"/>
      <c r="PXY19" s="1050"/>
      <c r="PXZ19" s="1050"/>
      <c r="PYA19" s="1050"/>
      <c r="PYB19" s="1050"/>
      <c r="PYC19" s="1050"/>
      <c r="PYD19" s="1050"/>
      <c r="PYE19" s="1050"/>
      <c r="PYF19" s="1050"/>
      <c r="PYG19" s="1050"/>
      <c r="PYH19" s="1050"/>
      <c r="PYI19" s="1050"/>
      <c r="PYJ19" s="1050"/>
      <c r="PYK19" s="1050"/>
      <c r="PYL19" s="1050"/>
      <c r="PYM19" s="1050"/>
      <c r="PYN19" s="1050"/>
      <c r="PYO19" s="1050"/>
      <c r="PYP19" s="1050"/>
      <c r="PYQ19" s="1050"/>
      <c r="PYR19" s="1050"/>
      <c r="PYS19" s="1050"/>
      <c r="PYT19" s="1050"/>
      <c r="PYU19" s="1050"/>
      <c r="PYV19" s="1050"/>
      <c r="PYW19" s="1050"/>
      <c r="PYX19" s="1050"/>
      <c r="PYY19" s="1050"/>
      <c r="PYZ19" s="1050"/>
      <c r="PZA19" s="1050"/>
      <c r="PZB19" s="1050"/>
      <c r="PZC19" s="1050"/>
      <c r="PZD19" s="1050"/>
      <c r="PZE19" s="1050"/>
      <c r="PZF19" s="1050"/>
      <c r="PZG19" s="1050"/>
      <c r="PZH19" s="1050"/>
      <c r="PZI19" s="1050"/>
      <c r="PZJ19" s="1050"/>
      <c r="PZK19" s="1050"/>
      <c r="PZL19" s="1050"/>
      <c r="PZM19" s="1050"/>
      <c r="PZN19" s="1050"/>
      <c r="PZO19" s="1050"/>
      <c r="PZP19" s="1050"/>
      <c r="PZQ19" s="1050"/>
      <c r="PZR19" s="1050"/>
      <c r="PZS19" s="1050"/>
      <c r="PZT19" s="1050"/>
      <c r="PZU19" s="1050"/>
      <c r="PZV19" s="1050"/>
      <c r="PZW19" s="1050"/>
      <c r="PZX19" s="1050"/>
      <c r="PZY19" s="1050"/>
      <c r="PZZ19" s="1050"/>
      <c r="QAA19" s="1050"/>
      <c r="QAB19" s="1050"/>
      <c r="QAC19" s="1050"/>
      <c r="QAD19" s="1050"/>
      <c r="QAE19" s="1050"/>
      <c r="QAF19" s="1050"/>
      <c r="QAG19" s="1050"/>
      <c r="QAH19" s="1050"/>
      <c r="QAI19" s="1050"/>
      <c r="QAJ19" s="1050"/>
      <c r="QAK19" s="1050"/>
      <c r="QAL19" s="1050"/>
      <c r="QAM19" s="1050"/>
      <c r="QAN19" s="1050"/>
      <c r="QAO19" s="1050"/>
      <c r="QAP19" s="1050"/>
      <c r="QAQ19" s="1050"/>
      <c r="QAR19" s="1050"/>
      <c r="QAS19" s="1050"/>
      <c r="QAT19" s="1050"/>
      <c r="QAU19" s="1050"/>
      <c r="QAV19" s="1050"/>
      <c r="QAW19" s="1050"/>
      <c r="QAX19" s="1050"/>
      <c r="QAY19" s="1050"/>
      <c r="QAZ19" s="1050"/>
      <c r="QBA19" s="1050"/>
      <c r="QBB19" s="1050"/>
      <c r="QBC19" s="1050"/>
      <c r="QBD19" s="1050"/>
      <c r="QBE19" s="1050"/>
      <c r="QBF19" s="1050"/>
      <c r="QBG19" s="1050"/>
      <c r="QBH19" s="1050"/>
      <c r="QBI19" s="1050"/>
      <c r="QBJ19" s="1050"/>
      <c r="QBK19" s="1050"/>
      <c r="QBL19" s="1050"/>
      <c r="QBM19" s="1050"/>
      <c r="QBN19" s="1050"/>
      <c r="QBO19" s="1050"/>
      <c r="QBP19" s="1050"/>
      <c r="QBQ19" s="1050"/>
      <c r="QBR19" s="1050"/>
      <c r="QBS19" s="1050"/>
      <c r="QBT19" s="1050"/>
      <c r="QBU19" s="1050"/>
      <c r="QBV19" s="1050"/>
      <c r="QBW19" s="1050"/>
      <c r="QBX19" s="1050"/>
      <c r="QBY19" s="1050"/>
      <c r="QBZ19" s="1050"/>
      <c r="QCA19" s="1050"/>
      <c r="QCB19" s="1050"/>
      <c r="QCC19" s="1050"/>
      <c r="QCD19" s="1050"/>
      <c r="QCE19" s="1050"/>
      <c r="QCF19" s="1050"/>
      <c r="QCG19" s="1050"/>
      <c r="QCH19" s="1050"/>
      <c r="QCI19" s="1050"/>
      <c r="QCJ19" s="1050"/>
      <c r="QCK19" s="1050"/>
      <c r="QCL19" s="1050"/>
      <c r="QCM19" s="1050"/>
      <c r="QCN19" s="1050"/>
      <c r="QCO19" s="1050"/>
      <c r="QCP19" s="1050"/>
      <c r="QCQ19" s="1050"/>
      <c r="QCR19" s="1050"/>
      <c r="QCS19" s="1050"/>
      <c r="QCT19" s="1050"/>
      <c r="QCU19" s="1050"/>
      <c r="QCV19" s="1050"/>
      <c r="QCW19" s="1050"/>
      <c r="QCX19" s="1050"/>
      <c r="QCY19" s="1050"/>
      <c r="QCZ19" s="1050"/>
      <c r="QDA19" s="1050"/>
      <c r="QDB19" s="1050"/>
      <c r="QDC19" s="1050"/>
      <c r="QDD19" s="1050"/>
      <c r="QDE19" s="1050"/>
      <c r="QDF19" s="1050"/>
      <c r="QDG19" s="1050"/>
      <c r="QDH19" s="1050"/>
      <c r="QDI19" s="1050"/>
      <c r="QDJ19" s="1050"/>
      <c r="QDK19" s="1050"/>
      <c r="QDL19" s="1050"/>
      <c r="QDM19" s="1050"/>
      <c r="QDN19" s="1050"/>
      <c r="QDO19" s="1050"/>
      <c r="QDP19" s="1050"/>
      <c r="QDQ19" s="1050"/>
      <c r="QDR19" s="1050"/>
      <c r="QDS19" s="1050"/>
      <c r="QDT19" s="1050"/>
      <c r="QDU19" s="1050"/>
      <c r="QDV19" s="1050"/>
      <c r="QDW19" s="1050"/>
      <c r="QDX19" s="1050"/>
      <c r="QDY19" s="1050"/>
      <c r="QDZ19" s="1050"/>
      <c r="QEA19" s="1050"/>
      <c r="QEB19" s="1050"/>
      <c r="QEC19" s="1050"/>
      <c r="QED19" s="1050"/>
      <c r="QEE19" s="1050"/>
      <c r="QEF19" s="1050"/>
      <c r="QEG19" s="1050"/>
      <c r="QEH19" s="1050"/>
      <c r="QEI19" s="1050"/>
      <c r="QEJ19" s="1050"/>
      <c r="QEK19" s="1050"/>
      <c r="QEL19" s="1050"/>
      <c r="QEM19" s="1050"/>
      <c r="QEN19" s="1050"/>
      <c r="QEO19" s="1050"/>
      <c r="QEP19" s="1050"/>
      <c r="QEQ19" s="1050"/>
      <c r="QER19" s="1050"/>
      <c r="QES19" s="1050"/>
      <c r="QET19" s="1050"/>
      <c r="QEU19" s="1050"/>
      <c r="QEV19" s="1050"/>
      <c r="QEW19" s="1050"/>
      <c r="QEX19" s="1050"/>
      <c r="QEY19" s="1050"/>
      <c r="QEZ19" s="1050"/>
      <c r="QFA19" s="1050"/>
      <c r="QFB19" s="1050"/>
      <c r="QFC19" s="1050"/>
      <c r="QFD19" s="1050"/>
      <c r="QFE19" s="1050"/>
      <c r="QFF19" s="1050"/>
      <c r="QFG19" s="1050"/>
      <c r="QFH19" s="1050"/>
      <c r="QFI19" s="1050"/>
      <c r="QFJ19" s="1050"/>
      <c r="QFK19" s="1050"/>
      <c r="QFL19" s="1050"/>
      <c r="QFM19" s="1050"/>
      <c r="QFN19" s="1050"/>
      <c r="QFO19" s="1050"/>
      <c r="QFP19" s="1050"/>
      <c r="QFQ19" s="1050"/>
      <c r="QFR19" s="1050"/>
      <c r="QFS19" s="1050"/>
      <c r="QFT19" s="1050"/>
      <c r="QFU19" s="1050"/>
      <c r="QFV19" s="1050"/>
      <c r="QFW19" s="1050"/>
      <c r="QFX19" s="1050"/>
      <c r="QFY19" s="1050"/>
      <c r="QFZ19" s="1050"/>
      <c r="QGA19" s="1050"/>
      <c r="QGB19" s="1050"/>
      <c r="QGC19" s="1050"/>
      <c r="QGD19" s="1050"/>
      <c r="QGE19" s="1050"/>
      <c r="QGF19" s="1050"/>
      <c r="QGG19" s="1050"/>
      <c r="QGH19" s="1050"/>
      <c r="QGI19" s="1050"/>
      <c r="QGJ19" s="1050"/>
      <c r="QGK19" s="1050"/>
      <c r="QGL19" s="1050"/>
      <c r="QGM19" s="1050"/>
      <c r="QGN19" s="1050"/>
      <c r="QGO19" s="1050"/>
      <c r="QGP19" s="1050"/>
      <c r="QGQ19" s="1050"/>
      <c r="QGR19" s="1050"/>
      <c r="QGS19" s="1050"/>
      <c r="QGT19" s="1050"/>
      <c r="QGU19" s="1050"/>
      <c r="QGV19" s="1050"/>
      <c r="QGW19" s="1050"/>
      <c r="QGX19" s="1050"/>
      <c r="QGY19" s="1050"/>
      <c r="QGZ19" s="1050"/>
      <c r="QHA19" s="1050"/>
      <c r="QHB19" s="1050"/>
      <c r="QHC19" s="1050"/>
      <c r="QHD19" s="1050"/>
      <c r="QHE19" s="1050"/>
      <c r="QHF19" s="1050"/>
      <c r="QHG19" s="1050"/>
      <c r="QHH19" s="1050"/>
      <c r="QHI19" s="1050"/>
      <c r="QHJ19" s="1050"/>
      <c r="QHK19" s="1050"/>
      <c r="QHL19" s="1050"/>
      <c r="QHM19" s="1050"/>
      <c r="QHN19" s="1050"/>
      <c r="QHO19" s="1050"/>
      <c r="QHP19" s="1050"/>
      <c r="QHQ19" s="1050"/>
      <c r="QHR19" s="1050"/>
      <c r="QHS19" s="1050"/>
      <c r="QHT19" s="1050"/>
      <c r="QHU19" s="1050"/>
      <c r="QHV19" s="1050"/>
      <c r="QHW19" s="1050"/>
      <c r="QHX19" s="1050"/>
      <c r="QHY19" s="1050"/>
      <c r="QHZ19" s="1050"/>
      <c r="QIA19" s="1050"/>
      <c r="QIB19" s="1050"/>
      <c r="QIC19" s="1050"/>
      <c r="QID19" s="1050"/>
      <c r="QIE19" s="1050"/>
      <c r="QIF19" s="1050"/>
      <c r="QIG19" s="1050"/>
      <c r="QIH19" s="1050"/>
      <c r="QII19" s="1050"/>
      <c r="QIJ19" s="1050"/>
      <c r="QIK19" s="1050"/>
      <c r="QIL19" s="1050"/>
      <c r="QIM19" s="1050"/>
      <c r="QIN19" s="1050"/>
      <c r="QIO19" s="1050"/>
      <c r="QIP19" s="1050"/>
      <c r="QIQ19" s="1050"/>
      <c r="QIR19" s="1050"/>
      <c r="QIS19" s="1050"/>
      <c r="QIT19" s="1050"/>
      <c r="QIU19" s="1050"/>
      <c r="QIV19" s="1050"/>
      <c r="QIW19" s="1050"/>
      <c r="QIX19" s="1050"/>
      <c r="QIY19" s="1050"/>
      <c r="QIZ19" s="1050"/>
      <c r="QJA19" s="1050"/>
      <c r="QJB19" s="1050"/>
      <c r="QJC19" s="1050"/>
      <c r="QJD19" s="1050"/>
      <c r="QJE19" s="1050"/>
      <c r="QJF19" s="1050"/>
      <c r="QJG19" s="1050"/>
      <c r="QJH19" s="1050"/>
      <c r="QJI19" s="1050"/>
      <c r="QJJ19" s="1050"/>
      <c r="QJK19" s="1050"/>
      <c r="QJL19" s="1050"/>
      <c r="QJM19" s="1050"/>
      <c r="QJN19" s="1050"/>
      <c r="QJO19" s="1050"/>
      <c r="QJP19" s="1050"/>
      <c r="QJQ19" s="1050"/>
      <c r="QJR19" s="1050"/>
      <c r="QJS19" s="1050"/>
      <c r="QJT19" s="1050"/>
      <c r="QJU19" s="1050"/>
      <c r="QJV19" s="1050"/>
      <c r="QJW19" s="1050"/>
      <c r="QJX19" s="1050"/>
      <c r="QJY19" s="1050"/>
      <c r="QJZ19" s="1050"/>
      <c r="QKA19" s="1050"/>
      <c r="QKB19" s="1050"/>
      <c r="QKC19" s="1050"/>
      <c r="QKD19" s="1050"/>
      <c r="QKE19" s="1050"/>
      <c r="QKF19" s="1050"/>
      <c r="QKG19" s="1050"/>
      <c r="QKH19" s="1050"/>
      <c r="QKI19" s="1050"/>
      <c r="QKJ19" s="1050"/>
      <c r="QKK19" s="1050"/>
      <c r="QKL19" s="1050"/>
      <c r="QKM19" s="1050"/>
      <c r="QKN19" s="1050"/>
      <c r="QKO19" s="1050"/>
      <c r="QKP19" s="1050"/>
      <c r="QKQ19" s="1050"/>
      <c r="QKR19" s="1050"/>
      <c r="QKS19" s="1050"/>
      <c r="QKT19" s="1050"/>
      <c r="QKU19" s="1050"/>
      <c r="QKV19" s="1050"/>
      <c r="QKW19" s="1050"/>
      <c r="QKX19" s="1050"/>
      <c r="QKY19" s="1050"/>
      <c r="QKZ19" s="1050"/>
      <c r="QLA19" s="1050"/>
      <c r="QLB19" s="1050"/>
      <c r="QLC19" s="1050"/>
      <c r="QLD19" s="1050"/>
      <c r="QLE19" s="1050"/>
      <c r="QLF19" s="1050"/>
      <c r="QLG19" s="1050"/>
      <c r="QLH19" s="1050"/>
      <c r="QLI19" s="1050"/>
      <c r="QLJ19" s="1050"/>
      <c r="QLK19" s="1050"/>
      <c r="QLL19" s="1050"/>
      <c r="QLM19" s="1050"/>
      <c r="QLN19" s="1050"/>
      <c r="QLO19" s="1050"/>
      <c r="QLP19" s="1050"/>
      <c r="QLQ19" s="1050"/>
      <c r="QLR19" s="1050"/>
      <c r="QLS19" s="1050"/>
      <c r="QLT19" s="1050"/>
      <c r="QLU19" s="1050"/>
      <c r="QLV19" s="1050"/>
      <c r="QLW19" s="1050"/>
      <c r="QLX19" s="1050"/>
      <c r="QLY19" s="1050"/>
      <c r="QLZ19" s="1050"/>
      <c r="QMA19" s="1050"/>
      <c r="QMB19" s="1050"/>
      <c r="QMC19" s="1050"/>
      <c r="QMD19" s="1050"/>
      <c r="QME19" s="1050"/>
      <c r="QMF19" s="1050"/>
      <c r="QMG19" s="1050"/>
      <c r="QMH19" s="1050"/>
      <c r="QMI19" s="1050"/>
      <c r="QMJ19" s="1050"/>
      <c r="QMK19" s="1050"/>
      <c r="QML19" s="1050"/>
      <c r="QMM19" s="1050"/>
      <c r="QMN19" s="1050"/>
      <c r="QMO19" s="1050"/>
      <c r="QMP19" s="1050"/>
      <c r="QMQ19" s="1050"/>
      <c r="QMR19" s="1050"/>
      <c r="QMS19" s="1050"/>
      <c r="QMT19" s="1050"/>
      <c r="QMU19" s="1050"/>
      <c r="QMV19" s="1050"/>
      <c r="QMW19" s="1050"/>
      <c r="QMX19" s="1050"/>
      <c r="QMY19" s="1050"/>
      <c r="QMZ19" s="1050"/>
      <c r="QNA19" s="1050"/>
      <c r="QNB19" s="1050"/>
      <c r="QNC19" s="1050"/>
      <c r="QND19" s="1050"/>
      <c r="QNE19" s="1050"/>
      <c r="QNF19" s="1050"/>
      <c r="QNG19" s="1050"/>
      <c r="QNH19" s="1050"/>
      <c r="QNI19" s="1050"/>
      <c r="QNJ19" s="1050"/>
      <c r="QNK19" s="1050"/>
      <c r="QNL19" s="1050"/>
      <c r="QNM19" s="1050"/>
      <c r="QNN19" s="1050"/>
      <c r="QNO19" s="1050"/>
      <c r="QNP19" s="1050"/>
      <c r="QNQ19" s="1050"/>
      <c r="QNR19" s="1050"/>
      <c r="QNS19" s="1050"/>
      <c r="QNT19" s="1050"/>
      <c r="QNU19" s="1050"/>
      <c r="QNV19" s="1050"/>
      <c r="QNW19" s="1050"/>
      <c r="QNX19" s="1050"/>
      <c r="QNY19" s="1050"/>
      <c r="QNZ19" s="1050"/>
      <c r="QOA19" s="1050"/>
      <c r="QOB19" s="1050"/>
      <c r="QOC19" s="1050"/>
      <c r="QOD19" s="1050"/>
      <c r="QOE19" s="1050"/>
      <c r="QOF19" s="1050"/>
      <c r="QOG19" s="1050"/>
      <c r="QOH19" s="1050"/>
      <c r="QOI19" s="1050"/>
      <c r="QOJ19" s="1050"/>
      <c r="QOK19" s="1050"/>
      <c r="QOL19" s="1050"/>
      <c r="QOM19" s="1050"/>
      <c r="QON19" s="1050"/>
      <c r="QOO19" s="1050"/>
      <c r="QOP19" s="1050"/>
      <c r="QOQ19" s="1050"/>
      <c r="QOR19" s="1050"/>
      <c r="QOS19" s="1050"/>
      <c r="QOT19" s="1050"/>
      <c r="QOU19" s="1050"/>
      <c r="QOV19" s="1050"/>
      <c r="QOW19" s="1050"/>
      <c r="QOX19" s="1050"/>
      <c r="QOY19" s="1050"/>
      <c r="QOZ19" s="1050"/>
      <c r="QPA19" s="1050"/>
      <c r="QPB19" s="1050"/>
      <c r="QPC19" s="1050"/>
      <c r="QPD19" s="1050"/>
      <c r="QPE19" s="1050"/>
      <c r="QPF19" s="1050"/>
      <c r="QPG19" s="1050"/>
      <c r="QPH19" s="1050"/>
      <c r="QPI19" s="1050"/>
      <c r="QPJ19" s="1050"/>
      <c r="QPK19" s="1050"/>
      <c r="QPL19" s="1050"/>
      <c r="QPM19" s="1050"/>
      <c r="QPN19" s="1050"/>
      <c r="QPO19" s="1050"/>
      <c r="QPP19" s="1050"/>
      <c r="QPQ19" s="1050"/>
      <c r="QPR19" s="1050"/>
      <c r="QPS19" s="1050"/>
      <c r="QPT19" s="1050"/>
      <c r="QPU19" s="1050"/>
      <c r="QPV19" s="1050"/>
      <c r="QPW19" s="1050"/>
      <c r="QPX19" s="1050"/>
      <c r="QPY19" s="1050"/>
      <c r="QPZ19" s="1050"/>
      <c r="QQA19" s="1050"/>
      <c r="QQB19" s="1050"/>
      <c r="QQC19" s="1050"/>
      <c r="QQD19" s="1050"/>
      <c r="QQE19" s="1050"/>
      <c r="QQF19" s="1050"/>
      <c r="QQG19" s="1050"/>
      <c r="QQH19" s="1050"/>
      <c r="QQI19" s="1050"/>
      <c r="QQJ19" s="1050"/>
      <c r="QQK19" s="1050"/>
      <c r="QQL19" s="1050"/>
      <c r="QQM19" s="1050"/>
      <c r="QQN19" s="1050"/>
      <c r="QQO19" s="1050"/>
      <c r="QQP19" s="1050"/>
      <c r="QQQ19" s="1050"/>
      <c r="QQR19" s="1050"/>
      <c r="QQS19" s="1050"/>
      <c r="QQT19" s="1050"/>
      <c r="QQU19" s="1050"/>
      <c r="QQV19" s="1050"/>
      <c r="QQW19" s="1050"/>
      <c r="QQX19" s="1050"/>
      <c r="QQY19" s="1050"/>
      <c r="QQZ19" s="1050"/>
      <c r="QRA19" s="1050"/>
      <c r="QRB19" s="1050"/>
      <c r="QRC19" s="1050"/>
      <c r="QRD19" s="1050"/>
      <c r="QRE19" s="1050"/>
      <c r="QRF19" s="1050"/>
      <c r="QRG19" s="1050"/>
      <c r="QRH19" s="1050"/>
      <c r="QRI19" s="1050"/>
      <c r="QRJ19" s="1050"/>
      <c r="QRK19" s="1050"/>
      <c r="QRL19" s="1050"/>
      <c r="QRM19" s="1050"/>
      <c r="QRN19" s="1050"/>
      <c r="QRO19" s="1050"/>
      <c r="QRP19" s="1050"/>
      <c r="QRQ19" s="1050"/>
      <c r="QRR19" s="1050"/>
      <c r="QRS19" s="1050"/>
      <c r="QRT19" s="1050"/>
      <c r="QRU19" s="1050"/>
      <c r="QRV19" s="1050"/>
      <c r="QRW19" s="1050"/>
      <c r="QRX19" s="1050"/>
      <c r="QRY19" s="1050"/>
      <c r="QRZ19" s="1050"/>
      <c r="QSA19" s="1050"/>
      <c r="QSB19" s="1050"/>
      <c r="QSC19" s="1050"/>
      <c r="QSD19" s="1050"/>
      <c r="QSE19" s="1050"/>
      <c r="QSF19" s="1050"/>
      <c r="QSG19" s="1050"/>
      <c r="QSH19" s="1050"/>
      <c r="QSI19" s="1050"/>
      <c r="QSJ19" s="1050"/>
      <c r="QSK19" s="1050"/>
      <c r="QSL19" s="1050"/>
      <c r="QSM19" s="1050"/>
      <c r="QSN19" s="1050"/>
      <c r="QSO19" s="1050"/>
      <c r="QSP19" s="1050"/>
      <c r="QSQ19" s="1050"/>
      <c r="QSR19" s="1050"/>
      <c r="QSS19" s="1050"/>
      <c r="QST19" s="1050"/>
      <c r="QSU19" s="1050"/>
      <c r="QSV19" s="1050"/>
      <c r="QSW19" s="1050"/>
      <c r="QSX19" s="1050"/>
      <c r="QSY19" s="1050"/>
      <c r="QSZ19" s="1050"/>
      <c r="QTA19" s="1050"/>
      <c r="QTB19" s="1050"/>
      <c r="QTC19" s="1050"/>
      <c r="QTD19" s="1050"/>
      <c r="QTE19" s="1050"/>
      <c r="QTF19" s="1050"/>
      <c r="QTG19" s="1050"/>
      <c r="QTH19" s="1050"/>
      <c r="QTI19" s="1050"/>
      <c r="QTJ19" s="1050"/>
      <c r="QTK19" s="1050"/>
      <c r="QTL19" s="1050"/>
      <c r="QTM19" s="1050"/>
      <c r="QTN19" s="1050"/>
      <c r="QTO19" s="1050"/>
      <c r="QTP19" s="1050"/>
      <c r="QTQ19" s="1050"/>
      <c r="QTR19" s="1050"/>
      <c r="QTS19" s="1050"/>
      <c r="QTT19" s="1050"/>
      <c r="QTU19" s="1050"/>
      <c r="QTV19" s="1050"/>
      <c r="QTW19" s="1050"/>
      <c r="QTX19" s="1050"/>
      <c r="QTY19" s="1050"/>
      <c r="QTZ19" s="1050"/>
      <c r="QUA19" s="1050"/>
      <c r="QUB19" s="1050"/>
      <c r="QUC19" s="1050"/>
      <c r="QUD19" s="1050"/>
      <c r="QUE19" s="1050"/>
      <c r="QUF19" s="1050"/>
      <c r="QUG19" s="1050"/>
      <c r="QUH19" s="1050"/>
      <c r="QUI19" s="1050"/>
      <c r="QUJ19" s="1050"/>
      <c r="QUK19" s="1050"/>
      <c r="QUL19" s="1050"/>
      <c r="QUM19" s="1050"/>
      <c r="QUN19" s="1050"/>
      <c r="QUO19" s="1050"/>
      <c r="QUP19" s="1050"/>
      <c r="QUQ19" s="1050"/>
      <c r="QUR19" s="1050"/>
      <c r="QUS19" s="1050"/>
      <c r="QUT19" s="1050"/>
      <c r="QUU19" s="1050"/>
      <c r="QUV19" s="1050"/>
      <c r="QUW19" s="1050"/>
      <c r="QUX19" s="1050"/>
      <c r="QUY19" s="1050"/>
      <c r="QUZ19" s="1050"/>
      <c r="QVA19" s="1050"/>
      <c r="QVB19" s="1050"/>
      <c r="QVC19" s="1050"/>
      <c r="QVD19" s="1050"/>
      <c r="QVE19" s="1050"/>
      <c r="QVF19" s="1050"/>
      <c r="QVG19" s="1050"/>
      <c r="QVH19" s="1050"/>
      <c r="QVI19" s="1050"/>
      <c r="QVJ19" s="1050"/>
      <c r="QVK19" s="1050"/>
      <c r="QVL19" s="1050"/>
      <c r="QVM19" s="1050"/>
      <c r="QVN19" s="1050"/>
      <c r="QVO19" s="1050"/>
      <c r="QVP19" s="1050"/>
      <c r="QVQ19" s="1050"/>
      <c r="QVR19" s="1050"/>
      <c r="QVS19" s="1050"/>
      <c r="QVT19" s="1050"/>
      <c r="QVU19" s="1050"/>
      <c r="QVV19" s="1050"/>
      <c r="QVW19" s="1050"/>
      <c r="QVX19" s="1050"/>
      <c r="QVY19" s="1050"/>
      <c r="QVZ19" s="1050"/>
      <c r="QWA19" s="1050"/>
      <c r="QWB19" s="1050"/>
      <c r="QWC19" s="1050"/>
      <c r="QWD19" s="1050"/>
      <c r="QWE19" s="1050"/>
      <c r="QWF19" s="1050"/>
      <c r="QWG19" s="1050"/>
      <c r="QWH19" s="1050"/>
      <c r="QWI19" s="1050"/>
      <c r="QWJ19" s="1050"/>
      <c r="QWK19" s="1050"/>
      <c r="QWL19" s="1050"/>
      <c r="QWM19" s="1050"/>
      <c r="QWN19" s="1050"/>
      <c r="QWO19" s="1050"/>
      <c r="QWP19" s="1050"/>
      <c r="QWQ19" s="1050"/>
      <c r="QWR19" s="1050"/>
      <c r="QWS19" s="1050"/>
      <c r="QWT19" s="1050"/>
      <c r="QWU19" s="1050"/>
      <c r="QWV19" s="1050"/>
      <c r="QWW19" s="1050"/>
      <c r="QWX19" s="1050"/>
      <c r="QWY19" s="1050"/>
      <c r="QWZ19" s="1050"/>
      <c r="QXA19" s="1050"/>
      <c r="QXB19" s="1050"/>
      <c r="QXC19" s="1050"/>
      <c r="QXD19" s="1050"/>
      <c r="QXE19" s="1050"/>
      <c r="QXF19" s="1050"/>
      <c r="QXG19" s="1050"/>
      <c r="QXH19" s="1050"/>
      <c r="QXI19" s="1050"/>
      <c r="QXJ19" s="1050"/>
      <c r="QXK19" s="1050"/>
      <c r="QXL19" s="1050"/>
      <c r="QXM19" s="1050"/>
      <c r="QXN19" s="1050"/>
      <c r="QXO19" s="1050"/>
      <c r="QXP19" s="1050"/>
      <c r="QXQ19" s="1050"/>
      <c r="QXR19" s="1050"/>
      <c r="QXS19" s="1050"/>
      <c r="QXT19" s="1050"/>
      <c r="QXU19" s="1050"/>
      <c r="QXV19" s="1050"/>
      <c r="QXW19" s="1050"/>
      <c r="QXX19" s="1050"/>
      <c r="QXY19" s="1050"/>
      <c r="QXZ19" s="1050"/>
      <c r="QYA19" s="1050"/>
      <c r="QYB19" s="1050"/>
      <c r="QYC19" s="1050"/>
      <c r="QYD19" s="1050"/>
      <c r="QYE19" s="1050"/>
      <c r="QYF19" s="1050"/>
      <c r="QYG19" s="1050"/>
      <c r="QYH19" s="1050"/>
      <c r="QYI19" s="1050"/>
      <c r="QYJ19" s="1050"/>
      <c r="QYK19" s="1050"/>
      <c r="QYL19" s="1050"/>
      <c r="QYM19" s="1050"/>
      <c r="QYN19" s="1050"/>
      <c r="QYO19" s="1050"/>
      <c r="QYP19" s="1050"/>
      <c r="QYQ19" s="1050"/>
      <c r="QYR19" s="1050"/>
      <c r="QYS19" s="1050"/>
      <c r="QYT19" s="1050"/>
      <c r="QYU19" s="1050"/>
      <c r="QYV19" s="1050"/>
      <c r="QYW19" s="1050"/>
      <c r="QYX19" s="1050"/>
      <c r="QYY19" s="1050"/>
      <c r="QYZ19" s="1050"/>
      <c r="QZA19" s="1050"/>
      <c r="QZB19" s="1050"/>
      <c r="QZC19" s="1050"/>
      <c r="QZD19" s="1050"/>
      <c r="QZE19" s="1050"/>
      <c r="QZF19" s="1050"/>
      <c r="QZG19" s="1050"/>
      <c r="QZH19" s="1050"/>
      <c r="QZI19" s="1050"/>
      <c r="QZJ19" s="1050"/>
      <c r="QZK19" s="1050"/>
      <c r="QZL19" s="1050"/>
      <c r="QZM19" s="1050"/>
      <c r="QZN19" s="1050"/>
      <c r="QZO19" s="1050"/>
      <c r="QZP19" s="1050"/>
      <c r="QZQ19" s="1050"/>
      <c r="QZR19" s="1050"/>
      <c r="QZS19" s="1050"/>
      <c r="QZT19" s="1050"/>
      <c r="QZU19" s="1050"/>
      <c r="QZV19" s="1050"/>
      <c r="QZW19" s="1050"/>
      <c r="QZX19" s="1050"/>
      <c r="QZY19" s="1050"/>
      <c r="QZZ19" s="1050"/>
      <c r="RAA19" s="1050"/>
      <c r="RAB19" s="1050"/>
      <c r="RAC19" s="1050"/>
      <c r="RAD19" s="1050"/>
      <c r="RAE19" s="1050"/>
      <c r="RAF19" s="1050"/>
      <c r="RAG19" s="1050"/>
      <c r="RAH19" s="1050"/>
      <c r="RAI19" s="1050"/>
      <c r="RAJ19" s="1050"/>
      <c r="RAK19" s="1050"/>
      <c r="RAL19" s="1050"/>
      <c r="RAM19" s="1050"/>
      <c r="RAN19" s="1050"/>
      <c r="RAO19" s="1050"/>
      <c r="RAP19" s="1050"/>
      <c r="RAQ19" s="1050"/>
      <c r="RAR19" s="1050"/>
      <c r="RAS19" s="1050"/>
      <c r="RAT19" s="1050"/>
      <c r="RAU19" s="1050"/>
      <c r="RAV19" s="1050"/>
      <c r="RAW19" s="1050"/>
      <c r="RAX19" s="1050"/>
      <c r="RAY19" s="1050"/>
      <c r="RAZ19" s="1050"/>
      <c r="RBA19" s="1050"/>
      <c r="RBB19" s="1050"/>
      <c r="RBC19" s="1050"/>
      <c r="RBD19" s="1050"/>
      <c r="RBE19" s="1050"/>
      <c r="RBF19" s="1050"/>
      <c r="RBG19" s="1050"/>
      <c r="RBH19" s="1050"/>
      <c r="RBI19" s="1050"/>
      <c r="RBJ19" s="1050"/>
      <c r="RBK19" s="1050"/>
      <c r="RBL19" s="1050"/>
      <c r="RBM19" s="1050"/>
      <c r="RBN19" s="1050"/>
      <c r="RBO19" s="1050"/>
      <c r="RBP19" s="1050"/>
      <c r="RBQ19" s="1050"/>
      <c r="RBR19" s="1050"/>
      <c r="RBS19" s="1050"/>
      <c r="RBT19" s="1050"/>
      <c r="RBU19" s="1050"/>
      <c r="RBV19" s="1050"/>
      <c r="RBW19" s="1050"/>
      <c r="RBX19" s="1050"/>
      <c r="RBY19" s="1050"/>
      <c r="RBZ19" s="1050"/>
      <c r="RCA19" s="1050"/>
      <c r="RCB19" s="1050"/>
      <c r="RCC19" s="1050"/>
      <c r="RCD19" s="1050"/>
      <c r="RCE19" s="1050"/>
      <c r="RCF19" s="1050"/>
      <c r="RCG19" s="1050"/>
      <c r="RCH19" s="1050"/>
      <c r="RCI19" s="1050"/>
      <c r="RCJ19" s="1050"/>
      <c r="RCK19" s="1050"/>
      <c r="RCL19" s="1050"/>
      <c r="RCM19" s="1050"/>
      <c r="RCN19" s="1050"/>
      <c r="RCO19" s="1050"/>
      <c r="RCP19" s="1050"/>
      <c r="RCQ19" s="1050"/>
      <c r="RCR19" s="1050"/>
      <c r="RCS19" s="1050"/>
      <c r="RCT19" s="1050"/>
      <c r="RCU19" s="1050"/>
      <c r="RCV19" s="1050"/>
      <c r="RCW19" s="1050"/>
      <c r="RCX19" s="1050"/>
      <c r="RCY19" s="1050"/>
      <c r="RCZ19" s="1050"/>
      <c r="RDA19" s="1050"/>
      <c r="RDB19" s="1050"/>
      <c r="RDC19" s="1050"/>
      <c r="RDD19" s="1050"/>
      <c r="RDE19" s="1050"/>
      <c r="RDF19" s="1050"/>
      <c r="RDG19" s="1050"/>
      <c r="RDH19" s="1050"/>
      <c r="RDI19" s="1050"/>
      <c r="RDJ19" s="1050"/>
      <c r="RDK19" s="1050"/>
      <c r="RDL19" s="1050"/>
      <c r="RDM19" s="1050"/>
      <c r="RDN19" s="1050"/>
      <c r="RDO19" s="1050"/>
      <c r="RDP19" s="1050"/>
      <c r="RDQ19" s="1050"/>
      <c r="RDR19" s="1050"/>
      <c r="RDS19" s="1050"/>
      <c r="RDT19" s="1050"/>
      <c r="RDU19" s="1050"/>
      <c r="RDV19" s="1050"/>
      <c r="RDW19" s="1050"/>
      <c r="RDX19" s="1050"/>
      <c r="RDY19" s="1050"/>
      <c r="RDZ19" s="1050"/>
      <c r="REA19" s="1050"/>
      <c r="REB19" s="1050"/>
      <c r="REC19" s="1050"/>
      <c r="RED19" s="1050"/>
      <c r="REE19" s="1050"/>
      <c r="REF19" s="1050"/>
      <c r="REG19" s="1050"/>
      <c r="REH19" s="1050"/>
      <c r="REI19" s="1050"/>
      <c r="REJ19" s="1050"/>
      <c r="REK19" s="1050"/>
      <c r="REL19" s="1050"/>
      <c r="REM19" s="1050"/>
      <c r="REN19" s="1050"/>
      <c r="REO19" s="1050"/>
      <c r="REP19" s="1050"/>
      <c r="REQ19" s="1050"/>
      <c r="RER19" s="1050"/>
      <c r="RES19" s="1050"/>
      <c r="RET19" s="1050"/>
      <c r="REU19" s="1050"/>
      <c r="REV19" s="1050"/>
      <c r="REW19" s="1050"/>
      <c r="REX19" s="1050"/>
      <c r="REY19" s="1050"/>
      <c r="REZ19" s="1050"/>
      <c r="RFA19" s="1050"/>
      <c r="RFB19" s="1050"/>
      <c r="RFC19" s="1050"/>
      <c r="RFD19" s="1050"/>
      <c r="RFE19" s="1050"/>
      <c r="RFF19" s="1050"/>
      <c r="RFG19" s="1050"/>
      <c r="RFH19" s="1050"/>
      <c r="RFI19" s="1050"/>
      <c r="RFJ19" s="1050"/>
      <c r="RFK19" s="1050"/>
      <c r="RFL19" s="1050"/>
      <c r="RFM19" s="1050"/>
      <c r="RFN19" s="1050"/>
      <c r="RFO19" s="1050"/>
      <c r="RFP19" s="1050"/>
      <c r="RFQ19" s="1050"/>
      <c r="RFR19" s="1050"/>
      <c r="RFS19" s="1050"/>
      <c r="RFT19" s="1050"/>
      <c r="RFU19" s="1050"/>
      <c r="RFV19" s="1050"/>
      <c r="RFW19" s="1050"/>
      <c r="RFX19" s="1050"/>
      <c r="RFY19" s="1050"/>
      <c r="RFZ19" s="1050"/>
      <c r="RGA19" s="1050"/>
      <c r="RGB19" s="1050"/>
      <c r="RGC19" s="1050"/>
      <c r="RGD19" s="1050"/>
      <c r="RGE19" s="1050"/>
      <c r="RGF19" s="1050"/>
      <c r="RGG19" s="1050"/>
      <c r="RGH19" s="1050"/>
      <c r="RGI19" s="1050"/>
      <c r="RGJ19" s="1050"/>
      <c r="RGK19" s="1050"/>
      <c r="RGL19" s="1050"/>
      <c r="RGM19" s="1050"/>
      <c r="RGN19" s="1050"/>
      <c r="RGO19" s="1050"/>
      <c r="RGP19" s="1050"/>
      <c r="RGQ19" s="1050"/>
      <c r="RGR19" s="1050"/>
      <c r="RGS19" s="1050"/>
      <c r="RGT19" s="1050"/>
      <c r="RGU19" s="1050"/>
      <c r="RGV19" s="1050"/>
      <c r="RGW19" s="1050"/>
      <c r="RGX19" s="1050"/>
      <c r="RGY19" s="1050"/>
      <c r="RGZ19" s="1050"/>
      <c r="RHA19" s="1050"/>
      <c r="RHB19" s="1050"/>
      <c r="RHC19" s="1050"/>
      <c r="RHD19" s="1050"/>
      <c r="RHE19" s="1050"/>
      <c r="RHF19" s="1050"/>
      <c r="RHG19" s="1050"/>
      <c r="RHH19" s="1050"/>
      <c r="RHI19" s="1050"/>
      <c r="RHJ19" s="1050"/>
      <c r="RHK19" s="1050"/>
      <c r="RHL19" s="1050"/>
      <c r="RHM19" s="1050"/>
      <c r="RHN19" s="1050"/>
      <c r="RHO19" s="1050"/>
      <c r="RHP19" s="1050"/>
      <c r="RHQ19" s="1050"/>
      <c r="RHR19" s="1050"/>
      <c r="RHS19" s="1050"/>
      <c r="RHT19" s="1050"/>
      <c r="RHU19" s="1050"/>
      <c r="RHV19" s="1050"/>
      <c r="RHW19" s="1050"/>
      <c r="RHX19" s="1050"/>
      <c r="RHY19" s="1050"/>
      <c r="RHZ19" s="1050"/>
      <c r="RIA19" s="1050"/>
      <c r="RIB19" s="1050"/>
      <c r="RIC19" s="1050"/>
      <c r="RID19" s="1050"/>
      <c r="RIE19" s="1050"/>
      <c r="RIF19" s="1050"/>
      <c r="RIG19" s="1050"/>
      <c r="RIH19" s="1050"/>
      <c r="RII19" s="1050"/>
      <c r="RIJ19" s="1050"/>
      <c r="RIK19" s="1050"/>
      <c r="RIL19" s="1050"/>
      <c r="RIM19" s="1050"/>
      <c r="RIN19" s="1050"/>
      <c r="RIO19" s="1050"/>
      <c r="RIP19" s="1050"/>
      <c r="RIQ19" s="1050"/>
      <c r="RIR19" s="1050"/>
      <c r="RIS19" s="1050"/>
      <c r="RIT19" s="1050"/>
      <c r="RIU19" s="1050"/>
      <c r="RIV19" s="1050"/>
      <c r="RIW19" s="1050"/>
      <c r="RIX19" s="1050"/>
      <c r="RIY19" s="1050"/>
      <c r="RIZ19" s="1050"/>
      <c r="RJA19" s="1050"/>
      <c r="RJB19" s="1050"/>
      <c r="RJC19" s="1050"/>
      <c r="RJD19" s="1050"/>
      <c r="RJE19" s="1050"/>
      <c r="RJF19" s="1050"/>
      <c r="RJG19" s="1050"/>
      <c r="RJH19" s="1050"/>
      <c r="RJI19" s="1050"/>
      <c r="RJJ19" s="1050"/>
      <c r="RJK19" s="1050"/>
      <c r="RJL19" s="1050"/>
      <c r="RJM19" s="1050"/>
      <c r="RJN19" s="1050"/>
      <c r="RJO19" s="1050"/>
      <c r="RJP19" s="1050"/>
      <c r="RJQ19" s="1050"/>
      <c r="RJR19" s="1050"/>
      <c r="RJS19" s="1050"/>
      <c r="RJT19" s="1050"/>
      <c r="RJU19" s="1050"/>
      <c r="RJV19" s="1050"/>
      <c r="RJW19" s="1050"/>
      <c r="RJX19" s="1050"/>
      <c r="RJY19" s="1050"/>
      <c r="RJZ19" s="1050"/>
      <c r="RKA19" s="1050"/>
      <c r="RKB19" s="1050"/>
      <c r="RKC19" s="1050"/>
      <c r="RKD19" s="1050"/>
      <c r="RKE19" s="1050"/>
      <c r="RKF19" s="1050"/>
      <c r="RKG19" s="1050"/>
      <c r="RKH19" s="1050"/>
      <c r="RKI19" s="1050"/>
      <c r="RKJ19" s="1050"/>
      <c r="RKK19" s="1050"/>
      <c r="RKL19" s="1050"/>
      <c r="RKM19" s="1050"/>
      <c r="RKN19" s="1050"/>
      <c r="RKO19" s="1050"/>
      <c r="RKP19" s="1050"/>
      <c r="RKQ19" s="1050"/>
      <c r="RKR19" s="1050"/>
      <c r="RKS19" s="1050"/>
      <c r="RKT19" s="1050"/>
      <c r="RKU19" s="1050"/>
      <c r="RKV19" s="1050"/>
      <c r="RKW19" s="1050"/>
      <c r="RKX19" s="1050"/>
      <c r="RKY19" s="1050"/>
      <c r="RKZ19" s="1050"/>
      <c r="RLA19" s="1050"/>
      <c r="RLB19" s="1050"/>
      <c r="RLC19" s="1050"/>
      <c r="RLD19" s="1050"/>
      <c r="RLE19" s="1050"/>
      <c r="RLF19" s="1050"/>
      <c r="RLG19" s="1050"/>
      <c r="RLH19" s="1050"/>
      <c r="RLI19" s="1050"/>
      <c r="RLJ19" s="1050"/>
      <c r="RLK19" s="1050"/>
      <c r="RLL19" s="1050"/>
      <c r="RLM19" s="1050"/>
      <c r="RLN19" s="1050"/>
      <c r="RLO19" s="1050"/>
      <c r="RLP19" s="1050"/>
      <c r="RLQ19" s="1050"/>
      <c r="RLR19" s="1050"/>
      <c r="RLS19" s="1050"/>
      <c r="RLT19" s="1050"/>
      <c r="RLU19" s="1050"/>
      <c r="RLV19" s="1050"/>
      <c r="RLW19" s="1050"/>
      <c r="RLX19" s="1050"/>
      <c r="RLY19" s="1050"/>
      <c r="RLZ19" s="1050"/>
      <c r="RMA19" s="1050"/>
      <c r="RMB19" s="1050"/>
      <c r="RMC19" s="1050"/>
      <c r="RMD19" s="1050"/>
      <c r="RME19" s="1050"/>
      <c r="RMF19" s="1050"/>
      <c r="RMG19" s="1050"/>
      <c r="RMH19" s="1050"/>
      <c r="RMI19" s="1050"/>
      <c r="RMJ19" s="1050"/>
      <c r="RMK19" s="1050"/>
      <c r="RML19" s="1050"/>
      <c r="RMM19" s="1050"/>
      <c r="RMN19" s="1050"/>
      <c r="RMO19" s="1050"/>
      <c r="RMP19" s="1050"/>
      <c r="RMQ19" s="1050"/>
      <c r="RMR19" s="1050"/>
      <c r="RMS19" s="1050"/>
      <c r="RMT19" s="1050"/>
      <c r="RMU19" s="1050"/>
      <c r="RMV19" s="1050"/>
      <c r="RMW19" s="1050"/>
      <c r="RMX19" s="1050"/>
      <c r="RMY19" s="1050"/>
      <c r="RMZ19" s="1050"/>
      <c r="RNA19" s="1050"/>
      <c r="RNB19" s="1050"/>
      <c r="RNC19" s="1050"/>
      <c r="RND19" s="1050"/>
      <c r="RNE19" s="1050"/>
      <c r="RNF19" s="1050"/>
      <c r="RNG19" s="1050"/>
      <c r="RNH19" s="1050"/>
      <c r="RNI19" s="1050"/>
      <c r="RNJ19" s="1050"/>
      <c r="RNK19" s="1050"/>
      <c r="RNL19" s="1050"/>
      <c r="RNM19" s="1050"/>
      <c r="RNN19" s="1050"/>
      <c r="RNO19" s="1050"/>
      <c r="RNP19" s="1050"/>
      <c r="RNQ19" s="1050"/>
      <c r="RNR19" s="1050"/>
      <c r="RNS19" s="1050"/>
      <c r="RNT19" s="1050"/>
      <c r="RNU19" s="1050"/>
      <c r="RNV19" s="1050"/>
      <c r="RNW19" s="1050"/>
      <c r="RNX19" s="1050"/>
      <c r="RNY19" s="1050"/>
      <c r="RNZ19" s="1050"/>
      <c r="ROA19" s="1050"/>
      <c r="ROB19" s="1050"/>
      <c r="ROC19" s="1050"/>
      <c r="ROD19" s="1050"/>
      <c r="ROE19" s="1050"/>
      <c r="ROF19" s="1050"/>
      <c r="ROG19" s="1050"/>
      <c r="ROH19" s="1050"/>
      <c r="ROI19" s="1050"/>
      <c r="ROJ19" s="1050"/>
      <c r="ROK19" s="1050"/>
      <c r="ROL19" s="1050"/>
      <c r="ROM19" s="1050"/>
      <c r="RON19" s="1050"/>
      <c r="ROO19" s="1050"/>
      <c r="ROP19" s="1050"/>
      <c r="ROQ19" s="1050"/>
      <c r="ROR19" s="1050"/>
      <c r="ROS19" s="1050"/>
      <c r="ROT19" s="1050"/>
      <c r="ROU19" s="1050"/>
      <c r="ROV19" s="1050"/>
      <c r="ROW19" s="1050"/>
      <c r="ROX19" s="1050"/>
      <c r="ROY19" s="1050"/>
      <c r="ROZ19" s="1050"/>
      <c r="RPA19" s="1050"/>
      <c r="RPB19" s="1050"/>
      <c r="RPC19" s="1050"/>
      <c r="RPD19" s="1050"/>
      <c r="RPE19" s="1050"/>
      <c r="RPF19" s="1050"/>
      <c r="RPG19" s="1050"/>
      <c r="RPH19" s="1050"/>
      <c r="RPI19" s="1050"/>
      <c r="RPJ19" s="1050"/>
      <c r="RPK19" s="1050"/>
      <c r="RPL19" s="1050"/>
      <c r="RPM19" s="1050"/>
      <c r="RPN19" s="1050"/>
      <c r="RPO19" s="1050"/>
      <c r="RPP19" s="1050"/>
      <c r="RPQ19" s="1050"/>
      <c r="RPR19" s="1050"/>
      <c r="RPS19" s="1050"/>
      <c r="RPT19" s="1050"/>
      <c r="RPU19" s="1050"/>
      <c r="RPV19" s="1050"/>
      <c r="RPW19" s="1050"/>
      <c r="RPX19" s="1050"/>
      <c r="RPY19" s="1050"/>
      <c r="RPZ19" s="1050"/>
      <c r="RQA19" s="1050"/>
      <c r="RQB19" s="1050"/>
      <c r="RQC19" s="1050"/>
      <c r="RQD19" s="1050"/>
      <c r="RQE19" s="1050"/>
      <c r="RQF19" s="1050"/>
      <c r="RQG19" s="1050"/>
      <c r="RQH19" s="1050"/>
      <c r="RQI19" s="1050"/>
      <c r="RQJ19" s="1050"/>
      <c r="RQK19" s="1050"/>
      <c r="RQL19" s="1050"/>
      <c r="RQM19" s="1050"/>
      <c r="RQN19" s="1050"/>
      <c r="RQO19" s="1050"/>
      <c r="RQP19" s="1050"/>
      <c r="RQQ19" s="1050"/>
      <c r="RQR19" s="1050"/>
      <c r="RQS19" s="1050"/>
      <c r="RQT19" s="1050"/>
      <c r="RQU19" s="1050"/>
      <c r="RQV19" s="1050"/>
      <c r="RQW19" s="1050"/>
      <c r="RQX19" s="1050"/>
      <c r="RQY19" s="1050"/>
      <c r="RQZ19" s="1050"/>
      <c r="RRA19" s="1050"/>
      <c r="RRB19" s="1050"/>
      <c r="RRC19" s="1050"/>
      <c r="RRD19" s="1050"/>
      <c r="RRE19" s="1050"/>
      <c r="RRF19" s="1050"/>
      <c r="RRG19" s="1050"/>
      <c r="RRH19" s="1050"/>
      <c r="RRI19" s="1050"/>
      <c r="RRJ19" s="1050"/>
      <c r="RRK19" s="1050"/>
      <c r="RRL19" s="1050"/>
      <c r="RRM19" s="1050"/>
      <c r="RRN19" s="1050"/>
      <c r="RRO19" s="1050"/>
      <c r="RRP19" s="1050"/>
      <c r="RRQ19" s="1050"/>
      <c r="RRR19" s="1050"/>
      <c r="RRS19" s="1050"/>
      <c r="RRT19" s="1050"/>
      <c r="RRU19" s="1050"/>
      <c r="RRV19" s="1050"/>
      <c r="RRW19" s="1050"/>
      <c r="RRX19" s="1050"/>
      <c r="RRY19" s="1050"/>
      <c r="RRZ19" s="1050"/>
      <c r="RSA19" s="1050"/>
      <c r="RSB19" s="1050"/>
      <c r="RSC19" s="1050"/>
      <c r="RSD19" s="1050"/>
      <c r="RSE19" s="1050"/>
      <c r="RSF19" s="1050"/>
      <c r="RSG19" s="1050"/>
      <c r="RSH19" s="1050"/>
      <c r="RSI19" s="1050"/>
      <c r="RSJ19" s="1050"/>
      <c r="RSK19" s="1050"/>
      <c r="RSL19" s="1050"/>
      <c r="RSM19" s="1050"/>
      <c r="RSN19" s="1050"/>
      <c r="RSO19" s="1050"/>
      <c r="RSP19" s="1050"/>
      <c r="RSQ19" s="1050"/>
      <c r="RSR19" s="1050"/>
      <c r="RSS19" s="1050"/>
      <c r="RST19" s="1050"/>
      <c r="RSU19" s="1050"/>
      <c r="RSV19" s="1050"/>
      <c r="RSW19" s="1050"/>
      <c r="RSX19" s="1050"/>
      <c r="RSY19" s="1050"/>
      <c r="RSZ19" s="1050"/>
      <c r="RTA19" s="1050"/>
      <c r="RTB19" s="1050"/>
      <c r="RTC19" s="1050"/>
      <c r="RTD19" s="1050"/>
      <c r="RTE19" s="1050"/>
      <c r="RTF19" s="1050"/>
      <c r="RTG19" s="1050"/>
      <c r="RTH19" s="1050"/>
      <c r="RTI19" s="1050"/>
      <c r="RTJ19" s="1050"/>
      <c r="RTK19" s="1050"/>
      <c r="RTL19" s="1050"/>
      <c r="RTM19" s="1050"/>
      <c r="RTN19" s="1050"/>
      <c r="RTO19" s="1050"/>
      <c r="RTP19" s="1050"/>
      <c r="RTQ19" s="1050"/>
      <c r="RTR19" s="1050"/>
      <c r="RTS19" s="1050"/>
      <c r="RTT19" s="1050"/>
      <c r="RTU19" s="1050"/>
      <c r="RTV19" s="1050"/>
      <c r="RTW19" s="1050"/>
      <c r="RTX19" s="1050"/>
      <c r="RTY19" s="1050"/>
      <c r="RTZ19" s="1050"/>
      <c r="RUA19" s="1050"/>
      <c r="RUB19" s="1050"/>
      <c r="RUC19" s="1050"/>
      <c r="RUD19" s="1050"/>
      <c r="RUE19" s="1050"/>
      <c r="RUF19" s="1050"/>
      <c r="RUG19" s="1050"/>
      <c r="RUH19" s="1050"/>
      <c r="RUI19" s="1050"/>
      <c r="RUJ19" s="1050"/>
      <c r="RUK19" s="1050"/>
      <c r="RUL19" s="1050"/>
      <c r="RUM19" s="1050"/>
      <c r="RUN19" s="1050"/>
      <c r="RUO19" s="1050"/>
      <c r="RUP19" s="1050"/>
      <c r="RUQ19" s="1050"/>
      <c r="RUR19" s="1050"/>
      <c r="RUS19" s="1050"/>
      <c r="RUT19" s="1050"/>
      <c r="RUU19" s="1050"/>
      <c r="RUV19" s="1050"/>
      <c r="RUW19" s="1050"/>
      <c r="RUX19" s="1050"/>
      <c r="RUY19" s="1050"/>
      <c r="RUZ19" s="1050"/>
      <c r="RVA19" s="1050"/>
      <c r="RVB19" s="1050"/>
      <c r="RVC19" s="1050"/>
      <c r="RVD19" s="1050"/>
      <c r="RVE19" s="1050"/>
      <c r="RVF19" s="1050"/>
      <c r="RVG19" s="1050"/>
      <c r="RVH19" s="1050"/>
      <c r="RVI19" s="1050"/>
      <c r="RVJ19" s="1050"/>
      <c r="RVK19" s="1050"/>
      <c r="RVL19" s="1050"/>
      <c r="RVM19" s="1050"/>
      <c r="RVN19" s="1050"/>
      <c r="RVO19" s="1050"/>
      <c r="RVP19" s="1050"/>
      <c r="RVQ19" s="1050"/>
      <c r="RVR19" s="1050"/>
      <c r="RVS19" s="1050"/>
      <c r="RVT19" s="1050"/>
      <c r="RVU19" s="1050"/>
      <c r="RVV19" s="1050"/>
      <c r="RVW19" s="1050"/>
      <c r="RVX19" s="1050"/>
      <c r="RVY19" s="1050"/>
      <c r="RVZ19" s="1050"/>
      <c r="RWA19" s="1050"/>
      <c r="RWB19" s="1050"/>
      <c r="RWC19" s="1050"/>
      <c r="RWD19" s="1050"/>
      <c r="RWE19" s="1050"/>
      <c r="RWF19" s="1050"/>
      <c r="RWG19" s="1050"/>
      <c r="RWH19" s="1050"/>
      <c r="RWI19" s="1050"/>
      <c r="RWJ19" s="1050"/>
      <c r="RWK19" s="1050"/>
      <c r="RWL19" s="1050"/>
      <c r="RWM19" s="1050"/>
      <c r="RWN19" s="1050"/>
      <c r="RWO19" s="1050"/>
      <c r="RWP19" s="1050"/>
      <c r="RWQ19" s="1050"/>
      <c r="RWR19" s="1050"/>
      <c r="RWS19" s="1050"/>
      <c r="RWT19" s="1050"/>
      <c r="RWU19" s="1050"/>
      <c r="RWV19" s="1050"/>
      <c r="RWW19" s="1050"/>
      <c r="RWX19" s="1050"/>
      <c r="RWY19" s="1050"/>
      <c r="RWZ19" s="1050"/>
      <c r="RXA19" s="1050"/>
      <c r="RXB19" s="1050"/>
      <c r="RXC19" s="1050"/>
      <c r="RXD19" s="1050"/>
      <c r="RXE19" s="1050"/>
      <c r="RXF19" s="1050"/>
      <c r="RXG19" s="1050"/>
      <c r="RXH19" s="1050"/>
      <c r="RXI19" s="1050"/>
      <c r="RXJ19" s="1050"/>
      <c r="RXK19" s="1050"/>
      <c r="RXL19" s="1050"/>
      <c r="RXM19" s="1050"/>
      <c r="RXN19" s="1050"/>
      <c r="RXO19" s="1050"/>
      <c r="RXP19" s="1050"/>
      <c r="RXQ19" s="1050"/>
      <c r="RXR19" s="1050"/>
      <c r="RXS19" s="1050"/>
      <c r="RXT19" s="1050"/>
      <c r="RXU19" s="1050"/>
      <c r="RXV19" s="1050"/>
      <c r="RXW19" s="1050"/>
      <c r="RXX19" s="1050"/>
      <c r="RXY19" s="1050"/>
      <c r="RXZ19" s="1050"/>
      <c r="RYA19" s="1050"/>
      <c r="RYB19" s="1050"/>
      <c r="RYC19" s="1050"/>
      <c r="RYD19" s="1050"/>
      <c r="RYE19" s="1050"/>
      <c r="RYF19" s="1050"/>
      <c r="RYG19" s="1050"/>
      <c r="RYH19" s="1050"/>
      <c r="RYI19" s="1050"/>
      <c r="RYJ19" s="1050"/>
      <c r="RYK19" s="1050"/>
      <c r="RYL19" s="1050"/>
      <c r="RYM19" s="1050"/>
      <c r="RYN19" s="1050"/>
      <c r="RYO19" s="1050"/>
      <c r="RYP19" s="1050"/>
      <c r="RYQ19" s="1050"/>
      <c r="RYR19" s="1050"/>
      <c r="RYS19" s="1050"/>
      <c r="RYT19" s="1050"/>
      <c r="RYU19" s="1050"/>
      <c r="RYV19" s="1050"/>
      <c r="RYW19" s="1050"/>
      <c r="RYX19" s="1050"/>
      <c r="RYY19" s="1050"/>
      <c r="RYZ19" s="1050"/>
      <c r="RZA19" s="1050"/>
      <c r="RZB19" s="1050"/>
      <c r="RZC19" s="1050"/>
      <c r="RZD19" s="1050"/>
      <c r="RZE19" s="1050"/>
      <c r="RZF19" s="1050"/>
      <c r="RZG19" s="1050"/>
      <c r="RZH19" s="1050"/>
      <c r="RZI19" s="1050"/>
      <c r="RZJ19" s="1050"/>
      <c r="RZK19" s="1050"/>
      <c r="RZL19" s="1050"/>
      <c r="RZM19" s="1050"/>
      <c r="RZN19" s="1050"/>
      <c r="RZO19" s="1050"/>
      <c r="RZP19" s="1050"/>
      <c r="RZQ19" s="1050"/>
      <c r="RZR19" s="1050"/>
      <c r="RZS19" s="1050"/>
      <c r="RZT19" s="1050"/>
      <c r="RZU19" s="1050"/>
      <c r="RZV19" s="1050"/>
      <c r="RZW19" s="1050"/>
      <c r="RZX19" s="1050"/>
      <c r="RZY19" s="1050"/>
      <c r="RZZ19" s="1050"/>
      <c r="SAA19" s="1050"/>
      <c r="SAB19" s="1050"/>
      <c r="SAC19" s="1050"/>
      <c r="SAD19" s="1050"/>
      <c r="SAE19" s="1050"/>
      <c r="SAF19" s="1050"/>
      <c r="SAG19" s="1050"/>
      <c r="SAH19" s="1050"/>
      <c r="SAI19" s="1050"/>
      <c r="SAJ19" s="1050"/>
      <c r="SAK19" s="1050"/>
      <c r="SAL19" s="1050"/>
      <c r="SAM19" s="1050"/>
      <c r="SAN19" s="1050"/>
      <c r="SAO19" s="1050"/>
      <c r="SAP19" s="1050"/>
      <c r="SAQ19" s="1050"/>
      <c r="SAR19" s="1050"/>
      <c r="SAS19" s="1050"/>
      <c r="SAT19" s="1050"/>
      <c r="SAU19" s="1050"/>
      <c r="SAV19" s="1050"/>
      <c r="SAW19" s="1050"/>
      <c r="SAX19" s="1050"/>
      <c r="SAY19" s="1050"/>
      <c r="SAZ19" s="1050"/>
      <c r="SBA19" s="1050"/>
      <c r="SBB19" s="1050"/>
      <c r="SBC19" s="1050"/>
      <c r="SBD19" s="1050"/>
      <c r="SBE19" s="1050"/>
      <c r="SBF19" s="1050"/>
      <c r="SBG19" s="1050"/>
      <c r="SBH19" s="1050"/>
      <c r="SBI19" s="1050"/>
      <c r="SBJ19" s="1050"/>
      <c r="SBK19" s="1050"/>
      <c r="SBL19" s="1050"/>
      <c r="SBM19" s="1050"/>
      <c r="SBN19" s="1050"/>
      <c r="SBO19" s="1050"/>
      <c r="SBP19" s="1050"/>
      <c r="SBQ19" s="1050"/>
      <c r="SBR19" s="1050"/>
      <c r="SBS19" s="1050"/>
      <c r="SBT19" s="1050"/>
      <c r="SBU19" s="1050"/>
      <c r="SBV19" s="1050"/>
      <c r="SBW19" s="1050"/>
      <c r="SBX19" s="1050"/>
      <c r="SBY19" s="1050"/>
      <c r="SBZ19" s="1050"/>
      <c r="SCA19" s="1050"/>
      <c r="SCB19" s="1050"/>
      <c r="SCC19" s="1050"/>
      <c r="SCD19" s="1050"/>
      <c r="SCE19" s="1050"/>
      <c r="SCF19" s="1050"/>
      <c r="SCG19" s="1050"/>
      <c r="SCH19" s="1050"/>
      <c r="SCI19" s="1050"/>
      <c r="SCJ19" s="1050"/>
      <c r="SCK19" s="1050"/>
      <c r="SCL19" s="1050"/>
      <c r="SCM19" s="1050"/>
      <c r="SCN19" s="1050"/>
      <c r="SCO19" s="1050"/>
      <c r="SCP19" s="1050"/>
      <c r="SCQ19" s="1050"/>
      <c r="SCR19" s="1050"/>
      <c r="SCS19" s="1050"/>
      <c r="SCT19" s="1050"/>
      <c r="SCU19" s="1050"/>
      <c r="SCV19" s="1050"/>
      <c r="SCW19" s="1050"/>
      <c r="SCX19" s="1050"/>
      <c r="SCY19" s="1050"/>
      <c r="SCZ19" s="1050"/>
      <c r="SDA19" s="1050"/>
      <c r="SDB19" s="1050"/>
      <c r="SDC19" s="1050"/>
      <c r="SDD19" s="1050"/>
      <c r="SDE19" s="1050"/>
      <c r="SDF19" s="1050"/>
      <c r="SDG19" s="1050"/>
      <c r="SDH19" s="1050"/>
      <c r="SDI19" s="1050"/>
      <c r="SDJ19" s="1050"/>
      <c r="SDK19" s="1050"/>
      <c r="SDL19" s="1050"/>
      <c r="SDM19" s="1050"/>
      <c r="SDN19" s="1050"/>
      <c r="SDO19" s="1050"/>
      <c r="SDP19" s="1050"/>
      <c r="SDQ19" s="1050"/>
      <c r="SDR19" s="1050"/>
      <c r="SDS19" s="1050"/>
      <c r="SDT19" s="1050"/>
      <c r="SDU19" s="1050"/>
      <c r="SDV19" s="1050"/>
      <c r="SDW19" s="1050"/>
      <c r="SDX19" s="1050"/>
      <c r="SDY19" s="1050"/>
      <c r="SDZ19" s="1050"/>
      <c r="SEA19" s="1050"/>
      <c r="SEB19" s="1050"/>
      <c r="SEC19" s="1050"/>
      <c r="SED19" s="1050"/>
      <c r="SEE19" s="1050"/>
      <c r="SEF19" s="1050"/>
      <c r="SEG19" s="1050"/>
      <c r="SEH19" s="1050"/>
      <c r="SEI19" s="1050"/>
      <c r="SEJ19" s="1050"/>
      <c r="SEK19" s="1050"/>
      <c r="SEL19" s="1050"/>
      <c r="SEM19" s="1050"/>
      <c r="SEN19" s="1050"/>
      <c r="SEO19" s="1050"/>
      <c r="SEP19" s="1050"/>
      <c r="SEQ19" s="1050"/>
      <c r="SER19" s="1050"/>
      <c r="SES19" s="1050"/>
      <c r="SET19" s="1050"/>
      <c r="SEU19" s="1050"/>
      <c r="SEV19" s="1050"/>
      <c r="SEW19" s="1050"/>
      <c r="SEX19" s="1050"/>
      <c r="SEY19" s="1050"/>
      <c r="SEZ19" s="1050"/>
      <c r="SFA19" s="1050"/>
      <c r="SFB19" s="1050"/>
      <c r="SFC19" s="1050"/>
      <c r="SFD19" s="1050"/>
      <c r="SFE19" s="1050"/>
      <c r="SFF19" s="1050"/>
      <c r="SFG19" s="1050"/>
      <c r="SFH19" s="1050"/>
      <c r="SFI19" s="1050"/>
      <c r="SFJ19" s="1050"/>
      <c r="SFK19" s="1050"/>
      <c r="SFL19" s="1050"/>
      <c r="SFM19" s="1050"/>
      <c r="SFN19" s="1050"/>
      <c r="SFO19" s="1050"/>
      <c r="SFP19" s="1050"/>
      <c r="SFQ19" s="1050"/>
      <c r="SFR19" s="1050"/>
      <c r="SFS19" s="1050"/>
      <c r="SFT19" s="1050"/>
      <c r="SFU19" s="1050"/>
      <c r="SFV19" s="1050"/>
      <c r="SFW19" s="1050"/>
      <c r="SFX19" s="1050"/>
      <c r="SFY19" s="1050"/>
      <c r="SFZ19" s="1050"/>
      <c r="SGA19" s="1050"/>
      <c r="SGB19" s="1050"/>
      <c r="SGC19" s="1050"/>
      <c r="SGD19" s="1050"/>
      <c r="SGE19" s="1050"/>
      <c r="SGF19" s="1050"/>
      <c r="SGG19" s="1050"/>
      <c r="SGH19" s="1050"/>
      <c r="SGI19" s="1050"/>
      <c r="SGJ19" s="1050"/>
      <c r="SGK19" s="1050"/>
      <c r="SGL19" s="1050"/>
      <c r="SGM19" s="1050"/>
      <c r="SGN19" s="1050"/>
      <c r="SGO19" s="1050"/>
      <c r="SGP19" s="1050"/>
      <c r="SGQ19" s="1050"/>
      <c r="SGR19" s="1050"/>
      <c r="SGS19" s="1050"/>
      <c r="SGT19" s="1050"/>
      <c r="SGU19" s="1050"/>
      <c r="SGV19" s="1050"/>
      <c r="SGW19" s="1050"/>
      <c r="SGX19" s="1050"/>
      <c r="SGY19" s="1050"/>
      <c r="SGZ19" s="1050"/>
      <c r="SHA19" s="1050"/>
      <c r="SHB19" s="1050"/>
      <c r="SHC19" s="1050"/>
      <c r="SHD19" s="1050"/>
      <c r="SHE19" s="1050"/>
      <c r="SHF19" s="1050"/>
      <c r="SHG19" s="1050"/>
      <c r="SHH19" s="1050"/>
      <c r="SHI19" s="1050"/>
      <c r="SHJ19" s="1050"/>
      <c r="SHK19" s="1050"/>
      <c r="SHL19" s="1050"/>
      <c r="SHM19" s="1050"/>
      <c r="SHN19" s="1050"/>
      <c r="SHO19" s="1050"/>
      <c r="SHP19" s="1050"/>
      <c r="SHQ19" s="1050"/>
      <c r="SHR19" s="1050"/>
      <c r="SHS19" s="1050"/>
      <c r="SHT19" s="1050"/>
      <c r="SHU19" s="1050"/>
      <c r="SHV19" s="1050"/>
      <c r="SHW19" s="1050"/>
      <c r="SHX19" s="1050"/>
      <c r="SHY19" s="1050"/>
      <c r="SHZ19" s="1050"/>
      <c r="SIA19" s="1050"/>
      <c r="SIB19" s="1050"/>
      <c r="SIC19" s="1050"/>
      <c r="SID19" s="1050"/>
      <c r="SIE19" s="1050"/>
      <c r="SIF19" s="1050"/>
      <c r="SIG19" s="1050"/>
      <c r="SIH19" s="1050"/>
      <c r="SII19" s="1050"/>
      <c r="SIJ19" s="1050"/>
      <c r="SIK19" s="1050"/>
      <c r="SIL19" s="1050"/>
      <c r="SIM19" s="1050"/>
      <c r="SIN19" s="1050"/>
      <c r="SIO19" s="1050"/>
      <c r="SIP19" s="1050"/>
      <c r="SIQ19" s="1050"/>
      <c r="SIR19" s="1050"/>
      <c r="SIS19" s="1050"/>
      <c r="SIT19" s="1050"/>
      <c r="SIU19" s="1050"/>
      <c r="SIV19" s="1050"/>
      <c r="SIW19" s="1050"/>
      <c r="SIX19" s="1050"/>
      <c r="SIY19" s="1050"/>
      <c r="SIZ19" s="1050"/>
      <c r="SJA19" s="1050"/>
      <c r="SJB19" s="1050"/>
      <c r="SJC19" s="1050"/>
      <c r="SJD19" s="1050"/>
      <c r="SJE19" s="1050"/>
      <c r="SJF19" s="1050"/>
      <c r="SJG19" s="1050"/>
      <c r="SJH19" s="1050"/>
      <c r="SJI19" s="1050"/>
      <c r="SJJ19" s="1050"/>
      <c r="SJK19" s="1050"/>
      <c r="SJL19" s="1050"/>
      <c r="SJM19" s="1050"/>
      <c r="SJN19" s="1050"/>
      <c r="SJO19" s="1050"/>
      <c r="SJP19" s="1050"/>
      <c r="SJQ19" s="1050"/>
      <c r="SJR19" s="1050"/>
      <c r="SJS19" s="1050"/>
      <c r="SJT19" s="1050"/>
      <c r="SJU19" s="1050"/>
      <c r="SJV19" s="1050"/>
      <c r="SJW19" s="1050"/>
      <c r="SJX19" s="1050"/>
      <c r="SJY19" s="1050"/>
      <c r="SJZ19" s="1050"/>
      <c r="SKA19" s="1050"/>
      <c r="SKB19" s="1050"/>
      <c r="SKC19" s="1050"/>
      <c r="SKD19" s="1050"/>
      <c r="SKE19" s="1050"/>
      <c r="SKF19" s="1050"/>
      <c r="SKG19" s="1050"/>
      <c r="SKH19" s="1050"/>
      <c r="SKI19" s="1050"/>
      <c r="SKJ19" s="1050"/>
      <c r="SKK19" s="1050"/>
      <c r="SKL19" s="1050"/>
      <c r="SKM19" s="1050"/>
      <c r="SKN19" s="1050"/>
      <c r="SKO19" s="1050"/>
      <c r="SKP19" s="1050"/>
      <c r="SKQ19" s="1050"/>
      <c r="SKR19" s="1050"/>
      <c r="SKS19" s="1050"/>
      <c r="SKT19" s="1050"/>
      <c r="SKU19" s="1050"/>
      <c r="SKV19" s="1050"/>
      <c r="SKW19" s="1050"/>
      <c r="SKX19" s="1050"/>
      <c r="SKY19" s="1050"/>
      <c r="SKZ19" s="1050"/>
      <c r="SLA19" s="1050"/>
      <c r="SLB19" s="1050"/>
      <c r="SLC19" s="1050"/>
      <c r="SLD19" s="1050"/>
      <c r="SLE19" s="1050"/>
      <c r="SLF19" s="1050"/>
      <c r="SLG19" s="1050"/>
      <c r="SLH19" s="1050"/>
      <c r="SLI19" s="1050"/>
      <c r="SLJ19" s="1050"/>
      <c r="SLK19" s="1050"/>
      <c r="SLL19" s="1050"/>
      <c r="SLM19" s="1050"/>
      <c r="SLN19" s="1050"/>
      <c r="SLO19" s="1050"/>
      <c r="SLP19" s="1050"/>
      <c r="SLQ19" s="1050"/>
      <c r="SLR19" s="1050"/>
      <c r="SLS19" s="1050"/>
      <c r="SLT19" s="1050"/>
      <c r="SLU19" s="1050"/>
      <c r="SLV19" s="1050"/>
      <c r="SLW19" s="1050"/>
      <c r="SLX19" s="1050"/>
      <c r="SLY19" s="1050"/>
      <c r="SLZ19" s="1050"/>
      <c r="SMA19" s="1050"/>
      <c r="SMB19" s="1050"/>
      <c r="SMC19" s="1050"/>
      <c r="SMD19" s="1050"/>
      <c r="SME19" s="1050"/>
      <c r="SMF19" s="1050"/>
      <c r="SMG19" s="1050"/>
      <c r="SMH19" s="1050"/>
      <c r="SMI19" s="1050"/>
      <c r="SMJ19" s="1050"/>
      <c r="SMK19" s="1050"/>
      <c r="SML19" s="1050"/>
      <c r="SMM19" s="1050"/>
      <c r="SMN19" s="1050"/>
      <c r="SMO19" s="1050"/>
      <c r="SMP19" s="1050"/>
      <c r="SMQ19" s="1050"/>
      <c r="SMR19" s="1050"/>
      <c r="SMS19" s="1050"/>
      <c r="SMT19" s="1050"/>
      <c r="SMU19" s="1050"/>
      <c r="SMV19" s="1050"/>
      <c r="SMW19" s="1050"/>
      <c r="SMX19" s="1050"/>
      <c r="SMY19" s="1050"/>
      <c r="SMZ19" s="1050"/>
      <c r="SNA19" s="1050"/>
      <c r="SNB19" s="1050"/>
      <c r="SNC19" s="1050"/>
      <c r="SND19" s="1050"/>
      <c r="SNE19" s="1050"/>
      <c r="SNF19" s="1050"/>
      <c r="SNG19" s="1050"/>
      <c r="SNH19" s="1050"/>
      <c r="SNI19" s="1050"/>
      <c r="SNJ19" s="1050"/>
      <c r="SNK19" s="1050"/>
      <c r="SNL19" s="1050"/>
      <c r="SNM19" s="1050"/>
      <c r="SNN19" s="1050"/>
      <c r="SNO19" s="1050"/>
      <c r="SNP19" s="1050"/>
      <c r="SNQ19" s="1050"/>
      <c r="SNR19" s="1050"/>
      <c r="SNS19" s="1050"/>
      <c r="SNT19" s="1050"/>
      <c r="SNU19" s="1050"/>
      <c r="SNV19" s="1050"/>
      <c r="SNW19" s="1050"/>
      <c r="SNX19" s="1050"/>
      <c r="SNY19" s="1050"/>
      <c r="SNZ19" s="1050"/>
      <c r="SOA19" s="1050"/>
      <c r="SOB19" s="1050"/>
      <c r="SOC19" s="1050"/>
      <c r="SOD19" s="1050"/>
      <c r="SOE19" s="1050"/>
      <c r="SOF19" s="1050"/>
      <c r="SOG19" s="1050"/>
      <c r="SOH19" s="1050"/>
      <c r="SOI19" s="1050"/>
      <c r="SOJ19" s="1050"/>
      <c r="SOK19" s="1050"/>
      <c r="SOL19" s="1050"/>
      <c r="SOM19" s="1050"/>
      <c r="SON19" s="1050"/>
      <c r="SOO19" s="1050"/>
      <c r="SOP19" s="1050"/>
      <c r="SOQ19" s="1050"/>
      <c r="SOR19" s="1050"/>
      <c r="SOS19" s="1050"/>
      <c r="SOT19" s="1050"/>
      <c r="SOU19" s="1050"/>
      <c r="SOV19" s="1050"/>
      <c r="SOW19" s="1050"/>
      <c r="SOX19" s="1050"/>
      <c r="SOY19" s="1050"/>
      <c r="SOZ19" s="1050"/>
      <c r="SPA19" s="1050"/>
      <c r="SPB19" s="1050"/>
      <c r="SPC19" s="1050"/>
      <c r="SPD19" s="1050"/>
      <c r="SPE19" s="1050"/>
      <c r="SPF19" s="1050"/>
      <c r="SPG19" s="1050"/>
      <c r="SPH19" s="1050"/>
      <c r="SPI19" s="1050"/>
      <c r="SPJ19" s="1050"/>
      <c r="SPK19" s="1050"/>
      <c r="SPL19" s="1050"/>
      <c r="SPM19" s="1050"/>
      <c r="SPN19" s="1050"/>
      <c r="SPO19" s="1050"/>
      <c r="SPP19" s="1050"/>
      <c r="SPQ19" s="1050"/>
      <c r="SPR19" s="1050"/>
      <c r="SPS19" s="1050"/>
      <c r="SPT19" s="1050"/>
      <c r="SPU19" s="1050"/>
      <c r="SPV19" s="1050"/>
      <c r="SPW19" s="1050"/>
      <c r="SPX19" s="1050"/>
      <c r="SPY19" s="1050"/>
      <c r="SPZ19" s="1050"/>
      <c r="SQA19" s="1050"/>
      <c r="SQB19" s="1050"/>
      <c r="SQC19" s="1050"/>
      <c r="SQD19" s="1050"/>
      <c r="SQE19" s="1050"/>
      <c r="SQF19" s="1050"/>
      <c r="SQG19" s="1050"/>
      <c r="SQH19" s="1050"/>
      <c r="SQI19" s="1050"/>
      <c r="SQJ19" s="1050"/>
      <c r="SQK19" s="1050"/>
      <c r="SQL19" s="1050"/>
      <c r="SQM19" s="1050"/>
      <c r="SQN19" s="1050"/>
      <c r="SQO19" s="1050"/>
      <c r="SQP19" s="1050"/>
      <c r="SQQ19" s="1050"/>
      <c r="SQR19" s="1050"/>
      <c r="SQS19" s="1050"/>
      <c r="SQT19" s="1050"/>
      <c r="SQU19" s="1050"/>
      <c r="SQV19" s="1050"/>
      <c r="SQW19" s="1050"/>
      <c r="SQX19" s="1050"/>
      <c r="SQY19" s="1050"/>
      <c r="SQZ19" s="1050"/>
      <c r="SRA19" s="1050"/>
      <c r="SRB19" s="1050"/>
      <c r="SRC19" s="1050"/>
      <c r="SRD19" s="1050"/>
      <c r="SRE19" s="1050"/>
      <c r="SRF19" s="1050"/>
      <c r="SRG19" s="1050"/>
      <c r="SRH19" s="1050"/>
      <c r="SRI19" s="1050"/>
      <c r="SRJ19" s="1050"/>
      <c r="SRK19" s="1050"/>
      <c r="SRL19" s="1050"/>
      <c r="SRM19" s="1050"/>
      <c r="SRN19" s="1050"/>
      <c r="SRO19" s="1050"/>
      <c r="SRP19" s="1050"/>
      <c r="SRQ19" s="1050"/>
      <c r="SRR19" s="1050"/>
      <c r="SRS19" s="1050"/>
      <c r="SRT19" s="1050"/>
      <c r="SRU19" s="1050"/>
      <c r="SRV19" s="1050"/>
      <c r="SRW19" s="1050"/>
      <c r="SRX19" s="1050"/>
      <c r="SRY19" s="1050"/>
      <c r="SRZ19" s="1050"/>
      <c r="SSA19" s="1050"/>
      <c r="SSB19" s="1050"/>
      <c r="SSC19" s="1050"/>
      <c r="SSD19" s="1050"/>
      <c r="SSE19" s="1050"/>
      <c r="SSF19" s="1050"/>
      <c r="SSG19" s="1050"/>
      <c r="SSH19" s="1050"/>
      <c r="SSI19" s="1050"/>
      <c r="SSJ19" s="1050"/>
      <c r="SSK19" s="1050"/>
      <c r="SSL19" s="1050"/>
      <c r="SSM19" s="1050"/>
      <c r="SSN19" s="1050"/>
      <c r="SSO19" s="1050"/>
      <c r="SSP19" s="1050"/>
      <c r="SSQ19" s="1050"/>
      <c r="SSR19" s="1050"/>
      <c r="SSS19" s="1050"/>
      <c r="SST19" s="1050"/>
      <c r="SSU19" s="1050"/>
      <c r="SSV19" s="1050"/>
      <c r="SSW19" s="1050"/>
      <c r="SSX19" s="1050"/>
      <c r="SSY19" s="1050"/>
      <c r="SSZ19" s="1050"/>
      <c r="STA19" s="1050"/>
      <c r="STB19" s="1050"/>
      <c r="STC19" s="1050"/>
      <c r="STD19" s="1050"/>
      <c r="STE19" s="1050"/>
      <c r="STF19" s="1050"/>
      <c r="STG19" s="1050"/>
      <c r="STH19" s="1050"/>
      <c r="STI19" s="1050"/>
      <c r="STJ19" s="1050"/>
      <c r="STK19" s="1050"/>
      <c r="STL19" s="1050"/>
      <c r="STM19" s="1050"/>
      <c r="STN19" s="1050"/>
      <c r="STO19" s="1050"/>
      <c r="STP19" s="1050"/>
      <c r="STQ19" s="1050"/>
      <c r="STR19" s="1050"/>
      <c r="STS19" s="1050"/>
      <c r="STT19" s="1050"/>
      <c r="STU19" s="1050"/>
      <c r="STV19" s="1050"/>
      <c r="STW19" s="1050"/>
      <c r="STX19" s="1050"/>
      <c r="STY19" s="1050"/>
      <c r="STZ19" s="1050"/>
      <c r="SUA19" s="1050"/>
      <c r="SUB19" s="1050"/>
      <c r="SUC19" s="1050"/>
      <c r="SUD19" s="1050"/>
      <c r="SUE19" s="1050"/>
      <c r="SUF19" s="1050"/>
      <c r="SUG19" s="1050"/>
      <c r="SUH19" s="1050"/>
      <c r="SUI19" s="1050"/>
      <c r="SUJ19" s="1050"/>
      <c r="SUK19" s="1050"/>
      <c r="SUL19" s="1050"/>
      <c r="SUM19" s="1050"/>
      <c r="SUN19" s="1050"/>
      <c r="SUO19" s="1050"/>
      <c r="SUP19" s="1050"/>
      <c r="SUQ19" s="1050"/>
      <c r="SUR19" s="1050"/>
      <c r="SUS19" s="1050"/>
      <c r="SUT19" s="1050"/>
      <c r="SUU19" s="1050"/>
      <c r="SUV19" s="1050"/>
      <c r="SUW19" s="1050"/>
      <c r="SUX19" s="1050"/>
      <c r="SUY19" s="1050"/>
      <c r="SUZ19" s="1050"/>
      <c r="SVA19" s="1050"/>
      <c r="SVB19" s="1050"/>
      <c r="SVC19" s="1050"/>
      <c r="SVD19" s="1050"/>
      <c r="SVE19" s="1050"/>
      <c r="SVF19" s="1050"/>
      <c r="SVG19" s="1050"/>
      <c r="SVH19" s="1050"/>
      <c r="SVI19" s="1050"/>
      <c r="SVJ19" s="1050"/>
      <c r="SVK19" s="1050"/>
      <c r="SVL19" s="1050"/>
      <c r="SVM19" s="1050"/>
      <c r="SVN19" s="1050"/>
      <c r="SVO19" s="1050"/>
      <c r="SVP19" s="1050"/>
      <c r="SVQ19" s="1050"/>
      <c r="SVR19" s="1050"/>
      <c r="SVS19" s="1050"/>
      <c r="SVT19" s="1050"/>
      <c r="SVU19" s="1050"/>
      <c r="SVV19" s="1050"/>
      <c r="SVW19" s="1050"/>
      <c r="SVX19" s="1050"/>
      <c r="SVY19" s="1050"/>
      <c r="SVZ19" s="1050"/>
      <c r="SWA19" s="1050"/>
      <c r="SWB19" s="1050"/>
      <c r="SWC19" s="1050"/>
      <c r="SWD19" s="1050"/>
      <c r="SWE19" s="1050"/>
      <c r="SWF19" s="1050"/>
      <c r="SWG19" s="1050"/>
      <c r="SWH19" s="1050"/>
      <c r="SWI19" s="1050"/>
      <c r="SWJ19" s="1050"/>
      <c r="SWK19" s="1050"/>
      <c r="SWL19" s="1050"/>
      <c r="SWM19" s="1050"/>
      <c r="SWN19" s="1050"/>
      <c r="SWO19" s="1050"/>
      <c r="SWP19" s="1050"/>
      <c r="SWQ19" s="1050"/>
      <c r="SWR19" s="1050"/>
      <c r="SWS19" s="1050"/>
      <c r="SWT19" s="1050"/>
      <c r="SWU19" s="1050"/>
      <c r="SWV19" s="1050"/>
      <c r="SWW19" s="1050"/>
      <c r="SWX19" s="1050"/>
      <c r="SWY19" s="1050"/>
      <c r="SWZ19" s="1050"/>
      <c r="SXA19" s="1050"/>
      <c r="SXB19" s="1050"/>
      <c r="SXC19" s="1050"/>
      <c r="SXD19" s="1050"/>
      <c r="SXE19" s="1050"/>
      <c r="SXF19" s="1050"/>
      <c r="SXG19" s="1050"/>
      <c r="SXH19" s="1050"/>
      <c r="SXI19" s="1050"/>
      <c r="SXJ19" s="1050"/>
      <c r="SXK19" s="1050"/>
      <c r="SXL19" s="1050"/>
      <c r="SXM19" s="1050"/>
      <c r="SXN19" s="1050"/>
      <c r="SXO19" s="1050"/>
      <c r="SXP19" s="1050"/>
      <c r="SXQ19" s="1050"/>
      <c r="SXR19" s="1050"/>
      <c r="SXS19" s="1050"/>
      <c r="SXT19" s="1050"/>
      <c r="SXU19" s="1050"/>
      <c r="SXV19" s="1050"/>
      <c r="SXW19" s="1050"/>
      <c r="SXX19" s="1050"/>
      <c r="SXY19" s="1050"/>
      <c r="SXZ19" s="1050"/>
      <c r="SYA19" s="1050"/>
      <c r="SYB19" s="1050"/>
      <c r="SYC19" s="1050"/>
      <c r="SYD19" s="1050"/>
      <c r="SYE19" s="1050"/>
      <c r="SYF19" s="1050"/>
      <c r="SYG19" s="1050"/>
      <c r="SYH19" s="1050"/>
      <c r="SYI19" s="1050"/>
      <c r="SYJ19" s="1050"/>
      <c r="SYK19" s="1050"/>
      <c r="SYL19" s="1050"/>
      <c r="SYM19" s="1050"/>
      <c r="SYN19" s="1050"/>
      <c r="SYO19" s="1050"/>
      <c r="SYP19" s="1050"/>
      <c r="SYQ19" s="1050"/>
      <c r="SYR19" s="1050"/>
      <c r="SYS19" s="1050"/>
      <c r="SYT19" s="1050"/>
      <c r="SYU19" s="1050"/>
      <c r="SYV19" s="1050"/>
      <c r="SYW19" s="1050"/>
      <c r="SYX19" s="1050"/>
      <c r="SYY19" s="1050"/>
      <c r="SYZ19" s="1050"/>
      <c r="SZA19" s="1050"/>
      <c r="SZB19" s="1050"/>
      <c r="SZC19" s="1050"/>
      <c r="SZD19" s="1050"/>
      <c r="SZE19" s="1050"/>
      <c r="SZF19" s="1050"/>
      <c r="SZG19" s="1050"/>
      <c r="SZH19" s="1050"/>
      <c r="SZI19" s="1050"/>
      <c r="SZJ19" s="1050"/>
      <c r="SZK19" s="1050"/>
      <c r="SZL19" s="1050"/>
      <c r="SZM19" s="1050"/>
      <c r="SZN19" s="1050"/>
      <c r="SZO19" s="1050"/>
      <c r="SZP19" s="1050"/>
      <c r="SZQ19" s="1050"/>
      <c r="SZR19" s="1050"/>
      <c r="SZS19" s="1050"/>
      <c r="SZT19" s="1050"/>
      <c r="SZU19" s="1050"/>
      <c r="SZV19" s="1050"/>
      <c r="SZW19" s="1050"/>
      <c r="SZX19" s="1050"/>
      <c r="SZY19" s="1050"/>
      <c r="SZZ19" s="1050"/>
      <c r="TAA19" s="1050"/>
      <c r="TAB19" s="1050"/>
      <c r="TAC19" s="1050"/>
      <c r="TAD19" s="1050"/>
      <c r="TAE19" s="1050"/>
      <c r="TAF19" s="1050"/>
      <c r="TAG19" s="1050"/>
      <c r="TAH19" s="1050"/>
      <c r="TAI19" s="1050"/>
      <c r="TAJ19" s="1050"/>
      <c r="TAK19" s="1050"/>
      <c r="TAL19" s="1050"/>
      <c r="TAM19" s="1050"/>
      <c r="TAN19" s="1050"/>
      <c r="TAO19" s="1050"/>
      <c r="TAP19" s="1050"/>
      <c r="TAQ19" s="1050"/>
      <c r="TAR19" s="1050"/>
      <c r="TAS19" s="1050"/>
      <c r="TAT19" s="1050"/>
      <c r="TAU19" s="1050"/>
      <c r="TAV19" s="1050"/>
      <c r="TAW19" s="1050"/>
      <c r="TAX19" s="1050"/>
      <c r="TAY19" s="1050"/>
      <c r="TAZ19" s="1050"/>
      <c r="TBA19" s="1050"/>
      <c r="TBB19" s="1050"/>
      <c r="TBC19" s="1050"/>
      <c r="TBD19" s="1050"/>
      <c r="TBE19" s="1050"/>
      <c r="TBF19" s="1050"/>
      <c r="TBG19" s="1050"/>
      <c r="TBH19" s="1050"/>
      <c r="TBI19" s="1050"/>
      <c r="TBJ19" s="1050"/>
      <c r="TBK19" s="1050"/>
      <c r="TBL19" s="1050"/>
      <c r="TBM19" s="1050"/>
      <c r="TBN19" s="1050"/>
      <c r="TBO19" s="1050"/>
      <c r="TBP19" s="1050"/>
      <c r="TBQ19" s="1050"/>
      <c r="TBR19" s="1050"/>
      <c r="TBS19" s="1050"/>
      <c r="TBT19" s="1050"/>
      <c r="TBU19" s="1050"/>
      <c r="TBV19" s="1050"/>
      <c r="TBW19" s="1050"/>
      <c r="TBX19" s="1050"/>
      <c r="TBY19" s="1050"/>
      <c r="TBZ19" s="1050"/>
      <c r="TCA19" s="1050"/>
      <c r="TCB19" s="1050"/>
      <c r="TCC19" s="1050"/>
      <c r="TCD19" s="1050"/>
      <c r="TCE19" s="1050"/>
      <c r="TCF19" s="1050"/>
      <c r="TCG19" s="1050"/>
      <c r="TCH19" s="1050"/>
      <c r="TCI19" s="1050"/>
      <c r="TCJ19" s="1050"/>
      <c r="TCK19" s="1050"/>
      <c r="TCL19" s="1050"/>
      <c r="TCM19" s="1050"/>
      <c r="TCN19" s="1050"/>
      <c r="TCO19" s="1050"/>
      <c r="TCP19" s="1050"/>
      <c r="TCQ19" s="1050"/>
      <c r="TCR19" s="1050"/>
      <c r="TCS19" s="1050"/>
      <c r="TCT19" s="1050"/>
      <c r="TCU19" s="1050"/>
      <c r="TCV19" s="1050"/>
      <c r="TCW19" s="1050"/>
      <c r="TCX19" s="1050"/>
      <c r="TCY19" s="1050"/>
      <c r="TCZ19" s="1050"/>
      <c r="TDA19" s="1050"/>
      <c r="TDB19" s="1050"/>
      <c r="TDC19" s="1050"/>
      <c r="TDD19" s="1050"/>
      <c r="TDE19" s="1050"/>
      <c r="TDF19" s="1050"/>
      <c r="TDG19" s="1050"/>
      <c r="TDH19" s="1050"/>
      <c r="TDI19" s="1050"/>
      <c r="TDJ19" s="1050"/>
      <c r="TDK19" s="1050"/>
      <c r="TDL19" s="1050"/>
      <c r="TDM19" s="1050"/>
      <c r="TDN19" s="1050"/>
      <c r="TDO19" s="1050"/>
      <c r="TDP19" s="1050"/>
      <c r="TDQ19" s="1050"/>
      <c r="TDR19" s="1050"/>
      <c r="TDS19" s="1050"/>
      <c r="TDT19" s="1050"/>
      <c r="TDU19" s="1050"/>
      <c r="TDV19" s="1050"/>
      <c r="TDW19" s="1050"/>
      <c r="TDX19" s="1050"/>
      <c r="TDY19" s="1050"/>
      <c r="TDZ19" s="1050"/>
      <c r="TEA19" s="1050"/>
      <c r="TEB19" s="1050"/>
      <c r="TEC19" s="1050"/>
      <c r="TED19" s="1050"/>
      <c r="TEE19" s="1050"/>
      <c r="TEF19" s="1050"/>
      <c r="TEG19" s="1050"/>
      <c r="TEH19" s="1050"/>
      <c r="TEI19" s="1050"/>
      <c r="TEJ19" s="1050"/>
      <c r="TEK19" s="1050"/>
      <c r="TEL19" s="1050"/>
      <c r="TEM19" s="1050"/>
      <c r="TEN19" s="1050"/>
      <c r="TEO19" s="1050"/>
      <c r="TEP19" s="1050"/>
      <c r="TEQ19" s="1050"/>
      <c r="TER19" s="1050"/>
      <c r="TES19" s="1050"/>
      <c r="TET19" s="1050"/>
      <c r="TEU19" s="1050"/>
      <c r="TEV19" s="1050"/>
      <c r="TEW19" s="1050"/>
      <c r="TEX19" s="1050"/>
      <c r="TEY19" s="1050"/>
      <c r="TEZ19" s="1050"/>
      <c r="TFA19" s="1050"/>
      <c r="TFB19" s="1050"/>
      <c r="TFC19" s="1050"/>
      <c r="TFD19" s="1050"/>
      <c r="TFE19" s="1050"/>
      <c r="TFF19" s="1050"/>
      <c r="TFG19" s="1050"/>
      <c r="TFH19" s="1050"/>
      <c r="TFI19" s="1050"/>
      <c r="TFJ19" s="1050"/>
      <c r="TFK19" s="1050"/>
      <c r="TFL19" s="1050"/>
      <c r="TFM19" s="1050"/>
      <c r="TFN19" s="1050"/>
      <c r="TFO19" s="1050"/>
      <c r="TFP19" s="1050"/>
      <c r="TFQ19" s="1050"/>
      <c r="TFR19" s="1050"/>
      <c r="TFS19" s="1050"/>
      <c r="TFT19" s="1050"/>
      <c r="TFU19" s="1050"/>
      <c r="TFV19" s="1050"/>
      <c r="TFW19" s="1050"/>
      <c r="TFX19" s="1050"/>
      <c r="TFY19" s="1050"/>
      <c r="TFZ19" s="1050"/>
      <c r="TGA19" s="1050"/>
      <c r="TGB19" s="1050"/>
      <c r="TGC19" s="1050"/>
      <c r="TGD19" s="1050"/>
      <c r="TGE19" s="1050"/>
      <c r="TGF19" s="1050"/>
      <c r="TGG19" s="1050"/>
      <c r="TGH19" s="1050"/>
      <c r="TGI19" s="1050"/>
      <c r="TGJ19" s="1050"/>
      <c r="TGK19" s="1050"/>
      <c r="TGL19" s="1050"/>
      <c r="TGM19" s="1050"/>
      <c r="TGN19" s="1050"/>
      <c r="TGO19" s="1050"/>
      <c r="TGP19" s="1050"/>
      <c r="TGQ19" s="1050"/>
      <c r="TGR19" s="1050"/>
      <c r="TGS19" s="1050"/>
      <c r="TGT19" s="1050"/>
      <c r="TGU19" s="1050"/>
      <c r="TGV19" s="1050"/>
      <c r="TGW19" s="1050"/>
      <c r="TGX19" s="1050"/>
      <c r="TGY19" s="1050"/>
      <c r="TGZ19" s="1050"/>
      <c r="THA19" s="1050"/>
      <c r="THB19" s="1050"/>
      <c r="THC19" s="1050"/>
      <c r="THD19" s="1050"/>
      <c r="THE19" s="1050"/>
      <c r="THF19" s="1050"/>
      <c r="THG19" s="1050"/>
      <c r="THH19" s="1050"/>
      <c r="THI19" s="1050"/>
      <c r="THJ19" s="1050"/>
      <c r="THK19" s="1050"/>
      <c r="THL19" s="1050"/>
      <c r="THM19" s="1050"/>
      <c r="THN19" s="1050"/>
      <c r="THO19" s="1050"/>
      <c r="THP19" s="1050"/>
      <c r="THQ19" s="1050"/>
      <c r="THR19" s="1050"/>
      <c r="THS19" s="1050"/>
      <c r="THT19" s="1050"/>
      <c r="THU19" s="1050"/>
      <c r="THV19" s="1050"/>
      <c r="THW19" s="1050"/>
      <c r="THX19" s="1050"/>
      <c r="THY19" s="1050"/>
      <c r="THZ19" s="1050"/>
      <c r="TIA19" s="1050"/>
      <c r="TIB19" s="1050"/>
      <c r="TIC19" s="1050"/>
      <c r="TID19" s="1050"/>
      <c r="TIE19" s="1050"/>
      <c r="TIF19" s="1050"/>
      <c r="TIG19" s="1050"/>
      <c r="TIH19" s="1050"/>
      <c r="TII19" s="1050"/>
      <c r="TIJ19" s="1050"/>
      <c r="TIK19" s="1050"/>
      <c r="TIL19" s="1050"/>
      <c r="TIM19" s="1050"/>
      <c r="TIN19" s="1050"/>
      <c r="TIO19" s="1050"/>
      <c r="TIP19" s="1050"/>
      <c r="TIQ19" s="1050"/>
      <c r="TIR19" s="1050"/>
      <c r="TIS19" s="1050"/>
      <c r="TIT19" s="1050"/>
      <c r="TIU19" s="1050"/>
      <c r="TIV19" s="1050"/>
      <c r="TIW19" s="1050"/>
      <c r="TIX19" s="1050"/>
      <c r="TIY19" s="1050"/>
      <c r="TIZ19" s="1050"/>
      <c r="TJA19" s="1050"/>
      <c r="TJB19" s="1050"/>
      <c r="TJC19" s="1050"/>
      <c r="TJD19" s="1050"/>
      <c r="TJE19" s="1050"/>
      <c r="TJF19" s="1050"/>
      <c r="TJG19" s="1050"/>
      <c r="TJH19" s="1050"/>
      <c r="TJI19" s="1050"/>
      <c r="TJJ19" s="1050"/>
      <c r="TJK19" s="1050"/>
      <c r="TJL19" s="1050"/>
      <c r="TJM19" s="1050"/>
      <c r="TJN19" s="1050"/>
      <c r="TJO19" s="1050"/>
      <c r="TJP19" s="1050"/>
      <c r="TJQ19" s="1050"/>
      <c r="TJR19" s="1050"/>
      <c r="TJS19" s="1050"/>
      <c r="TJT19" s="1050"/>
      <c r="TJU19" s="1050"/>
      <c r="TJV19" s="1050"/>
      <c r="TJW19" s="1050"/>
      <c r="TJX19" s="1050"/>
      <c r="TJY19" s="1050"/>
      <c r="TJZ19" s="1050"/>
      <c r="TKA19" s="1050"/>
      <c r="TKB19" s="1050"/>
      <c r="TKC19" s="1050"/>
      <c r="TKD19" s="1050"/>
      <c r="TKE19" s="1050"/>
      <c r="TKF19" s="1050"/>
      <c r="TKG19" s="1050"/>
      <c r="TKH19" s="1050"/>
      <c r="TKI19" s="1050"/>
      <c r="TKJ19" s="1050"/>
      <c r="TKK19" s="1050"/>
      <c r="TKL19" s="1050"/>
      <c r="TKM19" s="1050"/>
      <c r="TKN19" s="1050"/>
      <c r="TKO19" s="1050"/>
      <c r="TKP19" s="1050"/>
      <c r="TKQ19" s="1050"/>
      <c r="TKR19" s="1050"/>
      <c r="TKS19" s="1050"/>
      <c r="TKT19" s="1050"/>
      <c r="TKU19" s="1050"/>
      <c r="TKV19" s="1050"/>
      <c r="TKW19" s="1050"/>
      <c r="TKX19" s="1050"/>
      <c r="TKY19" s="1050"/>
      <c r="TKZ19" s="1050"/>
      <c r="TLA19" s="1050"/>
      <c r="TLB19" s="1050"/>
      <c r="TLC19" s="1050"/>
      <c r="TLD19" s="1050"/>
      <c r="TLE19" s="1050"/>
      <c r="TLF19" s="1050"/>
      <c r="TLG19" s="1050"/>
      <c r="TLH19" s="1050"/>
      <c r="TLI19" s="1050"/>
      <c r="TLJ19" s="1050"/>
      <c r="TLK19" s="1050"/>
      <c r="TLL19" s="1050"/>
      <c r="TLM19" s="1050"/>
      <c r="TLN19" s="1050"/>
      <c r="TLO19" s="1050"/>
      <c r="TLP19" s="1050"/>
      <c r="TLQ19" s="1050"/>
      <c r="TLR19" s="1050"/>
      <c r="TLS19" s="1050"/>
      <c r="TLT19" s="1050"/>
      <c r="TLU19" s="1050"/>
      <c r="TLV19" s="1050"/>
      <c r="TLW19" s="1050"/>
      <c r="TLX19" s="1050"/>
      <c r="TLY19" s="1050"/>
      <c r="TLZ19" s="1050"/>
      <c r="TMA19" s="1050"/>
      <c r="TMB19" s="1050"/>
      <c r="TMC19" s="1050"/>
      <c r="TMD19" s="1050"/>
      <c r="TME19" s="1050"/>
      <c r="TMF19" s="1050"/>
      <c r="TMG19" s="1050"/>
      <c r="TMH19" s="1050"/>
      <c r="TMI19" s="1050"/>
      <c r="TMJ19" s="1050"/>
      <c r="TMK19" s="1050"/>
      <c r="TML19" s="1050"/>
      <c r="TMM19" s="1050"/>
      <c r="TMN19" s="1050"/>
      <c r="TMO19" s="1050"/>
      <c r="TMP19" s="1050"/>
      <c r="TMQ19" s="1050"/>
      <c r="TMR19" s="1050"/>
      <c r="TMS19" s="1050"/>
      <c r="TMT19" s="1050"/>
      <c r="TMU19" s="1050"/>
      <c r="TMV19" s="1050"/>
      <c r="TMW19" s="1050"/>
      <c r="TMX19" s="1050"/>
      <c r="TMY19" s="1050"/>
      <c r="TMZ19" s="1050"/>
      <c r="TNA19" s="1050"/>
      <c r="TNB19" s="1050"/>
      <c r="TNC19" s="1050"/>
      <c r="TND19" s="1050"/>
      <c r="TNE19" s="1050"/>
      <c r="TNF19" s="1050"/>
      <c r="TNG19" s="1050"/>
      <c r="TNH19" s="1050"/>
      <c r="TNI19" s="1050"/>
      <c r="TNJ19" s="1050"/>
      <c r="TNK19" s="1050"/>
      <c r="TNL19" s="1050"/>
      <c r="TNM19" s="1050"/>
      <c r="TNN19" s="1050"/>
      <c r="TNO19" s="1050"/>
      <c r="TNP19" s="1050"/>
      <c r="TNQ19" s="1050"/>
      <c r="TNR19" s="1050"/>
      <c r="TNS19" s="1050"/>
      <c r="TNT19" s="1050"/>
      <c r="TNU19" s="1050"/>
      <c r="TNV19" s="1050"/>
      <c r="TNW19" s="1050"/>
      <c r="TNX19" s="1050"/>
      <c r="TNY19" s="1050"/>
      <c r="TNZ19" s="1050"/>
      <c r="TOA19" s="1050"/>
      <c r="TOB19" s="1050"/>
      <c r="TOC19" s="1050"/>
      <c r="TOD19" s="1050"/>
      <c r="TOE19" s="1050"/>
      <c r="TOF19" s="1050"/>
      <c r="TOG19" s="1050"/>
      <c r="TOH19" s="1050"/>
      <c r="TOI19" s="1050"/>
      <c r="TOJ19" s="1050"/>
      <c r="TOK19" s="1050"/>
      <c r="TOL19" s="1050"/>
      <c r="TOM19" s="1050"/>
      <c r="TON19" s="1050"/>
      <c r="TOO19" s="1050"/>
      <c r="TOP19" s="1050"/>
      <c r="TOQ19" s="1050"/>
      <c r="TOR19" s="1050"/>
      <c r="TOS19" s="1050"/>
      <c r="TOT19" s="1050"/>
      <c r="TOU19" s="1050"/>
      <c r="TOV19" s="1050"/>
      <c r="TOW19" s="1050"/>
      <c r="TOX19" s="1050"/>
      <c r="TOY19" s="1050"/>
      <c r="TOZ19" s="1050"/>
      <c r="TPA19" s="1050"/>
      <c r="TPB19" s="1050"/>
      <c r="TPC19" s="1050"/>
      <c r="TPD19" s="1050"/>
      <c r="TPE19" s="1050"/>
      <c r="TPF19" s="1050"/>
      <c r="TPG19" s="1050"/>
      <c r="TPH19" s="1050"/>
      <c r="TPI19" s="1050"/>
      <c r="TPJ19" s="1050"/>
      <c r="TPK19" s="1050"/>
      <c r="TPL19" s="1050"/>
      <c r="TPM19" s="1050"/>
      <c r="TPN19" s="1050"/>
      <c r="TPO19" s="1050"/>
      <c r="TPP19" s="1050"/>
      <c r="TPQ19" s="1050"/>
      <c r="TPR19" s="1050"/>
      <c r="TPS19" s="1050"/>
      <c r="TPT19" s="1050"/>
      <c r="TPU19" s="1050"/>
      <c r="TPV19" s="1050"/>
      <c r="TPW19" s="1050"/>
      <c r="TPX19" s="1050"/>
      <c r="TPY19" s="1050"/>
      <c r="TPZ19" s="1050"/>
      <c r="TQA19" s="1050"/>
      <c r="TQB19" s="1050"/>
      <c r="TQC19" s="1050"/>
      <c r="TQD19" s="1050"/>
      <c r="TQE19" s="1050"/>
      <c r="TQF19" s="1050"/>
      <c r="TQG19" s="1050"/>
      <c r="TQH19" s="1050"/>
      <c r="TQI19" s="1050"/>
      <c r="TQJ19" s="1050"/>
      <c r="TQK19" s="1050"/>
      <c r="TQL19" s="1050"/>
      <c r="TQM19" s="1050"/>
      <c r="TQN19" s="1050"/>
      <c r="TQO19" s="1050"/>
      <c r="TQP19" s="1050"/>
      <c r="TQQ19" s="1050"/>
      <c r="TQR19" s="1050"/>
      <c r="TQS19" s="1050"/>
      <c r="TQT19" s="1050"/>
      <c r="TQU19" s="1050"/>
      <c r="TQV19" s="1050"/>
      <c r="TQW19" s="1050"/>
      <c r="TQX19" s="1050"/>
      <c r="TQY19" s="1050"/>
      <c r="TQZ19" s="1050"/>
      <c r="TRA19" s="1050"/>
      <c r="TRB19" s="1050"/>
      <c r="TRC19" s="1050"/>
      <c r="TRD19" s="1050"/>
      <c r="TRE19" s="1050"/>
      <c r="TRF19" s="1050"/>
      <c r="TRG19" s="1050"/>
      <c r="TRH19" s="1050"/>
      <c r="TRI19" s="1050"/>
      <c r="TRJ19" s="1050"/>
      <c r="TRK19" s="1050"/>
      <c r="TRL19" s="1050"/>
      <c r="TRM19" s="1050"/>
      <c r="TRN19" s="1050"/>
      <c r="TRO19" s="1050"/>
      <c r="TRP19" s="1050"/>
      <c r="TRQ19" s="1050"/>
      <c r="TRR19" s="1050"/>
      <c r="TRS19" s="1050"/>
      <c r="TRT19" s="1050"/>
      <c r="TRU19" s="1050"/>
      <c r="TRV19" s="1050"/>
      <c r="TRW19" s="1050"/>
      <c r="TRX19" s="1050"/>
      <c r="TRY19" s="1050"/>
      <c r="TRZ19" s="1050"/>
      <c r="TSA19" s="1050"/>
      <c r="TSB19" s="1050"/>
      <c r="TSC19" s="1050"/>
      <c r="TSD19" s="1050"/>
      <c r="TSE19" s="1050"/>
      <c r="TSF19" s="1050"/>
      <c r="TSG19" s="1050"/>
      <c r="TSH19" s="1050"/>
      <c r="TSI19" s="1050"/>
      <c r="TSJ19" s="1050"/>
      <c r="TSK19" s="1050"/>
      <c r="TSL19" s="1050"/>
      <c r="TSM19" s="1050"/>
      <c r="TSN19" s="1050"/>
      <c r="TSO19" s="1050"/>
      <c r="TSP19" s="1050"/>
      <c r="TSQ19" s="1050"/>
      <c r="TSR19" s="1050"/>
      <c r="TSS19" s="1050"/>
      <c r="TST19" s="1050"/>
      <c r="TSU19" s="1050"/>
      <c r="TSV19" s="1050"/>
      <c r="TSW19" s="1050"/>
      <c r="TSX19" s="1050"/>
      <c r="TSY19" s="1050"/>
      <c r="TSZ19" s="1050"/>
      <c r="TTA19" s="1050"/>
      <c r="TTB19" s="1050"/>
      <c r="TTC19" s="1050"/>
      <c r="TTD19" s="1050"/>
      <c r="TTE19" s="1050"/>
      <c r="TTF19" s="1050"/>
      <c r="TTG19" s="1050"/>
      <c r="TTH19" s="1050"/>
      <c r="TTI19" s="1050"/>
      <c r="TTJ19" s="1050"/>
      <c r="TTK19" s="1050"/>
      <c r="TTL19" s="1050"/>
      <c r="TTM19" s="1050"/>
      <c r="TTN19" s="1050"/>
      <c r="TTO19" s="1050"/>
      <c r="TTP19" s="1050"/>
      <c r="TTQ19" s="1050"/>
      <c r="TTR19" s="1050"/>
      <c r="TTS19" s="1050"/>
      <c r="TTT19" s="1050"/>
      <c r="TTU19" s="1050"/>
      <c r="TTV19" s="1050"/>
      <c r="TTW19" s="1050"/>
      <c r="TTX19" s="1050"/>
      <c r="TTY19" s="1050"/>
      <c r="TTZ19" s="1050"/>
      <c r="TUA19" s="1050"/>
      <c r="TUB19" s="1050"/>
      <c r="TUC19" s="1050"/>
      <c r="TUD19" s="1050"/>
      <c r="TUE19" s="1050"/>
      <c r="TUF19" s="1050"/>
      <c r="TUG19" s="1050"/>
      <c r="TUH19" s="1050"/>
      <c r="TUI19" s="1050"/>
      <c r="TUJ19" s="1050"/>
      <c r="TUK19" s="1050"/>
      <c r="TUL19" s="1050"/>
      <c r="TUM19" s="1050"/>
      <c r="TUN19" s="1050"/>
      <c r="TUO19" s="1050"/>
      <c r="TUP19" s="1050"/>
      <c r="TUQ19" s="1050"/>
      <c r="TUR19" s="1050"/>
      <c r="TUS19" s="1050"/>
      <c r="TUT19" s="1050"/>
      <c r="TUU19" s="1050"/>
      <c r="TUV19" s="1050"/>
      <c r="TUW19" s="1050"/>
      <c r="TUX19" s="1050"/>
      <c r="TUY19" s="1050"/>
      <c r="TUZ19" s="1050"/>
      <c r="TVA19" s="1050"/>
      <c r="TVB19" s="1050"/>
      <c r="TVC19" s="1050"/>
      <c r="TVD19" s="1050"/>
      <c r="TVE19" s="1050"/>
      <c r="TVF19" s="1050"/>
      <c r="TVG19" s="1050"/>
      <c r="TVH19" s="1050"/>
      <c r="TVI19" s="1050"/>
      <c r="TVJ19" s="1050"/>
      <c r="TVK19" s="1050"/>
      <c r="TVL19" s="1050"/>
      <c r="TVM19" s="1050"/>
      <c r="TVN19" s="1050"/>
      <c r="TVO19" s="1050"/>
      <c r="TVP19" s="1050"/>
      <c r="TVQ19" s="1050"/>
      <c r="TVR19" s="1050"/>
      <c r="TVS19" s="1050"/>
      <c r="TVT19" s="1050"/>
      <c r="TVU19" s="1050"/>
      <c r="TVV19" s="1050"/>
      <c r="TVW19" s="1050"/>
      <c r="TVX19" s="1050"/>
      <c r="TVY19" s="1050"/>
      <c r="TVZ19" s="1050"/>
      <c r="TWA19" s="1050"/>
      <c r="TWB19" s="1050"/>
      <c r="TWC19" s="1050"/>
      <c r="TWD19" s="1050"/>
      <c r="TWE19" s="1050"/>
      <c r="TWF19" s="1050"/>
      <c r="TWG19" s="1050"/>
      <c r="TWH19" s="1050"/>
      <c r="TWI19" s="1050"/>
      <c r="TWJ19" s="1050"/>
      <c r="TWK19" s="1050"/>
      <c r="TWL19" s="1050"/>
      <c r="TWM19" s="1050"/>
      <c r="TWN19" s="1050"/>
      <c r="TWO19" s="1050"/>
      <c r="TWP19" s="1050"/>
      <c r="TWQ19" s="1050"/>
      <c r="TWR19" s="1050"/>
      <c r="TWS19" s="1050"/>
      <c r="TWT19" s="1050"/>
      <c r="TWU19" s="1050"/>
      <c r="TWV19" s="1050"/>
      <c r="TWW19" s="1050"/>
      <c r="TWX19" s="1050"/>
      <c r="TWY19" s="1050"/>
      <c r="TWZ19" s="1050"/>
      <c r="TXA19" s="1050"/>
      <c r="TXB19" s="1050"/>
      <c r="TXC19" s="1050"/>
      <c r="TXD19" s="1050"/>
      <c r="TXE19" s="1050"/>
      <c r="TXF19" s="1050"/>
      <c r="TXG19" s="1050"/>
      <c r="TXH19" s="1050"/>
      <c r="TXI19" s="1050"/>
      <c r="TXJ19" s="1050"/>
      <c r="TXK19" s="1050"/>
      <c r="TXL19" s="1050"/>
      <c r="TXM19" s="1050"/>
      <c r="TXN19" s="1050"/>
      <c r="TXO19" s="1050"/>
      <c r="TXP19" s="1050"/>
      <c r="TXQ19" s="1050"/>
      <c r="TXR19" s="1050"/>
      <c r="TXS19" s="1050"/>
      <c r="TXT19" s="1050"/>
      <c r="TXU19" s="1050"/>
      <c r="TXV19" s="1050"/>
      <c r="TXW19" s="1050"/>
      <c r="TXX19" s="1050"/>
      <c r="TXY19" s="1050"/>
      <c r="TXZ19" s="1050"/>
      <c r="TYA19" s="1050"/>
      <c r="TYB19" s="1050"/>
      <c r="TYC19" s="1050"/>
      <c r="TYD19" s="1050"/>
      <c r="TYE19" s="1050"/>
      <c r="TYF19" s="1050"/>
      <c r="TYG19" s="1050"/>
      <c r="TYH19" s="1050"/>
      <c r="TYI19" s="1050"/>
      <c r="TYJ19" s="1050"/>
      <c r="TYK19" s="1050"/>
      <c r="TYL19" s="1050"/>
      <c r="TYM19" s="1050"/>
      <c r="TYN19" s="1050"/>
      <c r="TYO19" s="1050"/>
      <c r="TYP19" s="1050"/>
      <c r="TYQ19" s="1050"/>
      <c r="TYR19" s="1050"/>
      <c r="TYS19" s="1050"/>
      <c r="TYT19" s="1050"/>
      <c r="TYU19" s="1050"/>
      <c r="TYV19" s="1050"/>
      <c r="TYW19" s="1050"/>
      <c r="TYX19" s="1050"/>
      <c r="TYY19" s="1050"/>
      <c r="TYZ19" s="1050"/>
      <c r="TZA19" s="1050"/>
      <c r="TZB19" s="1050"/>
      <c r="TZC19" s="1050"/>
      <c r="TZD19" s="1050"/>
      <c r="TZE19" s="1050"/>
      <c r="TZF19" s="1050"/>
      <c r="TZG19" s="1050"/>
      <c r="TZH19" s="1050"/>
      <c r="TZI19" s="1050"/>
      <c r="TZJ19" s="1050"/>
      <c r="TZK19" s="1050"/>
      <c r="TZL19" s="1050"/>
      <c r="TZM19" s="1050"/>
      <c r="TZN19" s="1050"/>
      <c r="TZO19" s="1050"/>
      <c r="TZP19" s="1050"/>
      <c r="TZQ19" s="1050"/>
      <c r="TZR19" s="1050"/>
      <c r="TZS19" s="1050"/>
      <c r="TZT19" s="1050"/>
      <c r="TZU19" s="1050"/>
      <c r="TZV19" s="1050"/>
      <c r="TZW19" s="1050"/>
      <c r="TZX19" s="1050"/>
      <c r="TZY19" s="1050"/>
      <c r="TZZ19" s="1050"/>
      <c r="UAA19" s="1050"/>
      <c r="UAB19" s="1050"/>
      <c r="UAC19" s="1050"/>
      <c r="UAD19" s="1050"/>
      <c r="UAE19" s="1050"/>
      <c r="UAF19" s="1050"/>
      <c r="UAG19" s="1050"/>
      <c r="UAH19" s="1050"/>
      <c r="UAI19" s="1050"/>
      <c r="UAJ19" s="1050"/>
      <c r="UAK19" s="1050"/>
      <c r="UAL19" s="1050"/>
      <c r="UAM19" s="1050"/>
      <c r="UAN19" s="1050"/>
      <c r="UAO19" s="1050"/>
      <c r="UAP19" s="1050"/>
      <c r="UAQ19" s="1050"/>
      <c r="UAR19" s="1050"/>
      <c r="UAS19" s="1050"/>
      <c r="UAT19" s="1050"/>
      <c r="UAU19" s="1050"/>
      <c r="UAV19" s="1050"/>
      <c r="UAW19" s="1050"/>
      <c r="UAX19" s="1050"/>
      <c r="UAY19" s="1050"/>
      <c r="UAZ19" s="1050"/>
      <c r="UBA19" s="1050"/>
      <c r="UBB19" s="1050"/>
      <c r="UBC19" s="1050"/>
      <c r="UBD19" s="1050"/>
      <c r="UBE19" s="1050"/>
      <c r="UBF19" s="1050"/>
      <c r="UBG19" s="1050"/>
      <c r="UBH19" s="1050"/>
      <c r="UBI19" s="1050"/>
      <c r="UBJ19" s="1050"/>
      <c r="UBK19" s="1050"/>
      <c r="UBL19" s="1050"/>
      <c r="UBM19" s="1050"/>
      <c r="UBN19" s="1050"/>
      <c r="UBO19" s="1050"/>
      <c r="UBP19" s="1050"/>
      <c r="UBQ19" s="1050"/>
      <c r="UBR19" s="1050"/>
      <c r="UBS19" s="1050"/>
      <c r="UBT19" s="1050"/>
      <c r="UBU19" s="1050"/>
      <c r="UBV19" s="1050"/>
      <c r="UBW19" s="1050"/>
      <c r="UBX19" s="1050"/>
      <c r="UBY19" s="1050"/>
      <c r="UBZ19" s="1050"/>
      <c r="UCA19" s="1050"/>
      <c r="UCB19" s="1050"/>
      <c r="UCC19" s="1050"/>
      <c r="UCD19" s="1050"/>
      <c r="UCE19" s="1050"/>
      <c r="UCF19" s="1050"/>
      <c r="UCG19" s="1050"/>
      <c r="UCH19" s="1050"/>
      <c r="UCI19" s="1050"/>
      <c r="UCJ19" s="1050"/>
      <c r="UCK19" s="1050"/>
      <c r="UCL19" s="1050"/>
      <c r="UCM19" s="1050"/>
      <c r="UCN19" s="1050"/>
      <c r="UCO19" s="1050"/>
      <c r="UCP19" s="1050"/>
      <c r="UCQ19" s="1050"/>
      <c r="UCR19" s="1050"/>
      <c r="UCS19" s="1050"/>
      <c r="UCT19" s="1050"/>
      <c r="UCU19" s="1050"/>
      <c r="UCV19" s="1050"/>
      <c r="UCW19" s="1050"/>
      <c r="UCX19" s="1050"/>
      <c r="UCY19" s="1050"/>
      <c r="UCZ19" s="1050"/>
      <c r="UDA19" s="1050"/>
      <c r="UDB19" s="1050"/>
      <c r="UDC19" s="1050"/>
      <c r="UDD19" s="1050"/>
      <c r="UDE19" s="1050"/>
      <c r="UDF19" s="1050"/>
      <c r="UDG19" s="1050"/>
      <c r="UDH19" s="1050"/>
      <c r="UDI19" s="1050"/>
      <c r="UDJ19" s="1050"/>
      <c r="UDK19" s="1050"/>
      <c r="UDL19" s="1050"/>
      <c r="UDM19" s="1050"/>
      <c r="UDN19" s="1050"/>
      <c r="UDO19" s="1050"/>
      <c r="UDP19" s="1050"/>
      <c r="UDQ19" s="1050"/>
      <c r="UDR19" s="1050"/>
      <c r="UDS19" s="1050"/>
      <c r="UDT19" s="1050"/>
      <c r="UDU19" s="1050"/>
      <c r="UDV19" s="1050"/>
      <c r="UDW19" s="1050"/>
      <c r="UDX19" s="1050"/>
      <c r="UDY19" s="1050"/>
      <c r="UDZ19" s="1050"/>
      <c r="UEA19" s="1050"/>
      <c r="UEB19" s="1050"/>
      <c r="UEC19" s="1050"/>
      <c r="UED19" s="1050"/>
      <c r="UEE19" s="1050"/>
      <c r="UEF19" s="1050"/>
      <c r="UEG19" s="1050"/>
      <c r="UEH19" s="1050"/>
      <c r="UEI19" s="1050"/>
      <c r="UEJ19" s="1050"/>
      <c r="UEK19" s="1050"/>
      <c r="UEL19" s="1050"/>
      <c r="UEM19" s="1050"/>
      <c r="UEN19" s="1050"/>
      <c r="UEO19" s="1050"/>
      <c r="UEP19" s="1050"/>
      <c r="UEQ19" s="1050"/>
      <c r="UER19" s="1050"/>
      <c r="UES19" s="1050"/>
      <c r="UET19" s="1050"/>
      <c r="UEU19" s="1050"/>
      <c r="UEV19" s="1050"/>
      <c r="UEW19" s="1050"/>
      <c r="UEX19" s="1050"/>
      <c r="UEY19" s="1050"/>
      <c r="UEZ19" s="1050"/>
      <c r="UFA19" s="1050"/>
      <c r="UFB19" s="1050"/>
      <c r="UFC19" s="1050"/>
      <c r="UFD19" s="1050"/>
      <c r="UFE19" s="1050"/>
      <c r="UFF19" s="1050"/>
      <c r="UFG19" s="1050"/>
      <c r="UFH19" s="1050"/>
      <c r="UFI19" s="1050"/>
      <c r="UFJ19" s="1050"/>
      <c r="UFK19" s="1050"/>
      <c r="UFL19" s="1050"/>
      <c r="UFM19" s="1050"/>
      <c r="UFN19" s="1050"/>
      <c r="UFO19" s="1050"/>
      <c r="UFP19" s="1050"/>
      <c r="UFQ19" s="1050"/>
      <c r="UFR19" s="1050"/>
      <c r="UFS19" s="1050"/>
      <c r="UFT19" s="1050"/>
      <c r="UFU19" s="1050"/>
      <c r="UFV19" s="1050"/>
      <c r="UFW19" s="1050"/>
      <c r="UFX19" s="1050"/>
      <c r="UFY19" s="1050"/>
      <c r="UFZ19" s="1050"/>
      <c r="UGA19" s="1050"/>
      <c r="UGB19" s="1050"/>
      <c r="UGC19" s="1050"/>
      <c r="UGD19" s="1050"/>
      <c r="UGE19" s="1050"/>
      <c r="UGF19" s="1050"/>
      <c r="UGG19" s="1050"/>
      <c r="UGH19" s="1050"/>
      <c r="UGI19" s="1050"/>
      <c r="UGJ19" s="1050"/>
      <c r="UGK19" s="1050"/>
      <c r="UGL19" s="1050"/>
      <c r="UGM19" s="1050"/>
      <c r="UGN19" s="1050"/>
      <c r="UGO19" s="1050"/>
      <c r="UGP19" s="1050"/>
      <c r="UGQ19" s="1050"/>
      <c r="UGR19" s="1050"/>
      <c r="UGS19" s="1050"/>
      <c r="UGT19" s="1050"/>
      <c r="UGU19" s="1050"/>
      <c r="UGV19" s="1050"/>
      <c r="UGW19" s="1050"/>
      <c r="UGX19" s="1050"/>
      <c r="UGY19" s="1050"/>
      <c r="UGZ19" s="1050"/>
      <c r="UHA19" s="1050"/>
      <c r="UHB19" s="1050"/>
      <c r="UHC19" s="1050"/>
      <c r="UHD19" s="1050"/>
      <c r="UHE19" s="1050"/>
      <c r="UHF19" s="1050"/>
      <c r="UHG19" s="1050"/>
      <c r="UHH19" s="1050"/>
      <c r="UHI19" s="1050"/>
      <c r="UHJ19" s="1050"/>
      <c r="UHK19" s="1050"/>
      <c r="UHL19" s="1050"/>
      <c r="UHM19" s="1050"/>
      <c r="UHN19" s="1050"/>
      <c r="UHO19" s="1050"/>
      <c r="UHP19" s="1050"/>
      <c r="UHQ19" s="1050"/>
      <c r="UHR19" s="1050"/>
      <c r="UHS19" s="1050"/>
      <c r="UHT19" s="1050"/>
      <c r="UHU19" s="1050"/>
      <c r="UHV19" s="1050"/>
      <c r="UHW19" s="1050"/>
      <c r="UHX19" s="1050"/>
      <c r="UHY19" s="1050"/>
      <c r="UHZ19" s="1050"/>
      <c r="UIA19" s="1050"/>
      <c r="UIB19" s="1050"/>
      <c r="UIC19" s="1050"/>
      <c r="UID19" s="1050"/>
      <c r="UIE19" s="1050"/>
      <c r="UIF19" s="1050"/>
      <c r="UIG19" s="1050"/>
      <c r="UIH19" s="1050"/>
      <c r="UII19" s="1050"/>
      <c r="UIJ19" s="1050"/>
      <c r="UIK19" s="1050"/>
      <c r="UIL19" s="1050"/>
      <c r="UIM19" s="1050"/>
      <c r="UIN19" s="1050"/>
      <c r="UIO19" s="1050"/>
      <c r="UIP19" s="1050"/>
      <c r="UIQ19" s="1050"/>
      <c r="UIR19" s="1050"/>
      <c r="UIS19" s="1050"/>
      <c r="UIT19" s="1050"/>
      <c r="UIU19" s="1050"/>
      <c r="UIV19" s="1050"/>
      <c r="UIW19" s="1050"/>
      <c r="UIX19" s="1050"/>
      <c r="UIY19" s="1050"/>
      <c r="UIZ19" s="1050"/>
      <c r="UJA19" s="1050"/>
      <c r="UJB19" s="1050"/>
      <c r="UJC19" s="1050"/>
      <c r="UJD19" s="1050"/>
      <c r="UJE19" s="1050"/>
      <c r="UJF19" s="1050"/>
      <c r="UJG19" s="1050"/>
      <c r="UJH19" s="1050"/>
      <c r="UJI19" s="1050"/>
      <c r="UJJ19" s="1050"/>
      <c r="UJK19" s="1050"/>
      <c r="UJL19" s="1050"/>
      <c r="UJM19" s="1050"/>
      <c r="UJN19" s="1050"/>
      <c r="UJO19" s="1050"/>
      <c r="UJP19" s="1050"/>
      <c r="UJQ19" s="1050"/>
      <c r="UJR19" s="1050"/>
      <c r="UJS19" s="1050"/>
      <c r="UJT19" s="1050"/>
      <c r="UJU19" s="1050"/>
      <c r="UJV19" s="1050"/>
      <c r="UJW19" s="1050"/>
      <c r="UJX19" s="1050"/>
      <c r="UJY19" s="1050"/>
      <c r="UJZ19" s="1050"/>
      <c r="UKA19" s="1050"/>
      <c r="UKB19" s="1050"/>
      <c r="UKC19" s="1050"/>
      <c r="UKD19" s="1050"/>
      <c r="UKE19" s="1050"/>
      <c r="UKF19" s="1050"/>
      <c r="UKG19" s="1050"/>
      <c r="UKH19" s="1050"/>
      <c r="UKI19" s="1050"/>
      <c r="UKJ19" s="1050"/>
      <c r="UKK19" s="1050"/>
      <c r="UKL19" s="1050"/>
      <c r="UKM19" s="1050"/>
      <c r="UKN19" s="1050"/>
      <c r="UKO19" s="1050"/>
      <c r="UKP19" s="1050"/>
      <c r="UKQ19" s="1050"/>
      <c r="UKR19" s="1050"/>
      <c r="UKS19" s="1050"/>
      <c r="UKT19" s="1050"/>
      <c r="UKU19" s="1050"/>
      <c r="UKV19" s="1050"/>
      <c r="UKW19" s="1050"/>
      <c r="UKX19" s="1050"/>
      <c r="UKY19" s="1050"/>
      <c r="UKZ19" s="1050"/>
      <c r="ULA19" s="1050"/>
      <c r="ULB19" s="1050"/>
      <c r="ULC19" s="1050"/>
      <c r="ULD19" s="1050"/>
      <c r="ULE19" s="1050"/>
      <c r="ULF19" s="1050"/>
      <c r="ULG19" s="1050"/>
      <c r="ULH19" s="1050"/>
      <c r="ULI19" s="1050"/>
      <c r="ULJ19" s="1050"/>
      <c r="ULK19" s="1050"/>
      <c r="ULL19" s="1050"/>
      <c r="ULM19" s="1050"/>
      <c r="ULN19" s="1050"/>
      <c r="ULO19" s="1050"/>
      <c r="ULP19" s="1050"/>
      <c r="ULQ19" s="1050"/>
      <c r="ULR19" s="1050"/>
      <c r="ULS19" s="1050"/>
      <c r="ULT19" s="1050"/>
      <c r="ULU19" s="1050"/>
      <c r="ULV19" s="1050"/>
      <c r="ULW19" s="1050"/>
      <c r="ULX19" s="1050"/>
      <c r="ULY19" s="1050"/>
      <c r="ULZ19" s="1050"/>
      <c r="UMA19" s="1050"/>
      <c r="UMB19" s="1050"/>
      <c r="UMC19" s="1050"/>
      <c r="UMD19" s="1050"/>
      <c r="UME19" s="1050"/>
      <c r="UMF19" s="1050"/>
      <c r="UMG19" s="1050"/>
      <c r="UMH19" s="1050"/>
      <c r="UMI19" s="1050"/>
      <c r="UMJ19" s="1050"/>
      <c r="UMK19" s="1050"/>
      <c r="UML19" s="1050"/>
      <c r="UMM19" s="1050"/>
      <c r="UMN19" s="1050"/>
      <c r="UMO19" s="1050"/>
      <c r="UMP19" s="1050"/>
      <c r="UMQ19" s="1050"/>
      <c r="UMR19" s="1050"/>
      <c r="UMS19" s="1050"/>
      <c r="UMT19" s="1050"/>
      <c r="UMU19" s="1050"/>
      <c r="UMV19" s="1050"/>
      <c r="UMW19" s="1050"/>
      <c r="UMX19" s="1050"/>
      <c r="UMY19" s="1050"/>
      <c r="UMZ19" s="1050"/>
      <c r="UNA19" s="1050"/>
      <c r="UNB19" s="1050"/>
      <c r="UNC19" s="1050"/>
      <c r="UND19" s="1050"/>
      <c r="UNE19" s="1050"/>
      <c r="UNF19" s="1050"/>
      <c r="UNG19" s="1050"/>
      <c r="UNH19" s="1050"/>
      <c r="UNI19" s="1050"/>
      <c r="UNJ19" s="1050"/>
      <c r="UNK19" s="1050"/>
      <c r="UNL19" s="1050"/>
      <c r="UNM19" s="1050"/>
      <c r="UNN19" s="1050"/>
      <c r="UNO19" s="1050"/>
      <c r="UNP19" s="1050"/>
      <c r="UNQ19" s="1050"/>
      <c r="UNR19" s="1050"/>
      <c r="UNS19" s="1050"/>
      <c r="UNT19" s="1050"/>
      <c r="UNU19" s="1050"/>
      <c r="UNV19" s="1050"/>
      <c r="UNW19" s="1050"/>
      <c r="UNX19" s="1050"/>
      <c r="UNY19" s="1050"/>
      <c r="UNZ19" s="1050"/>
      <c r="UOA19" s="1050"/>
      <c r="UOB19" s="1050"/>
      <c r="UOC19" s="1050"/>
      <c r="UOD19" s="1050"/>
      <c r="UOE19" s="1050"/>
      <c r="UOF19" s="1050"/>
      <c r="UOG19" s="1050"/>
      <c r="UOH19" s="1050"/>
      <c r="UOI19" s="1050"/>
      <c r="UOJ19" s="1050"/>
      <c r="UOK19" s="1050"/>
      <c r="UOL19" s="1050"/>
      <c r="UOM19" s="1050"/>
      <c r="UON19" s="1050"/>
      <c r="UOO19" s="1050"/>
      <c r="UOP19" s="1050"/>
      <c r="UOQ19" s="1050"/>
      <c r="UOR19" s="1050"/>
      <c r="UOS19" s="1050"/>
      <c r="UOT19" s="1050"/>
      <c r="UOU19" s="1050"/>
      <c r="UOV19" s="1050"/>
      <c r="UOW19" s="1050"/>
      <c r="UOX19" s="1050"/>
      <c r="UOY19" s="1050"/>
      <c r="UOZ19" s="1050"/>
      <c r="UPA19" s="1050"/>
      <c r="UPB19" s="1050"/>
      <c r="UPC19" s="1050"/>
      <c r="UPD19" s="1050"/>
      <c r="UPE19" s="1050"/>
      <c r="UPF19" s="1050"/>
      <c r="UPG19" s="1050"/>
      <c r="UPH19" s="1050"/>
      <c r="UPI19" s="1050"/>
      <c r="UPJ19" s="1050"/>
      <c r="UPK19" s="1050"/>
      <c r="UPL19" s="1050"/>
      <c r="UPM19" s="1050"/>
      <c r="UPN19" s="1050"/>
      <c r="UPO19" s="1050"/>
      <c r="UPP19" s="1050"/>
      <c r="UPQ19" s="1050"/>
      <c r="UPR19" s="1050"/>
      <c r="UPS19" s="1050"/>
      <c r="UPT19" s="1050"/>
      <c r="UPU19" s="1050"/>
      <c r="UPV19" s="1050"/>
      <c r="UPW19" s="1050"/>
      <c r="UPX19" s="1050"/>
      <c r="UPY19" s="1050"/>
      <c r="UPZ19" s="1050"/>
      <c r="UQA19" s="1050"/>
      <c r="UQB19" s="1050"/>
      <c r="UQC19" s="1050"/>
      <c r="UQD19" s="1050"/>
      <c r="UQE19" s="1050"/>
      <c r="UQF19" s="1050"/>
      <c r="UQG19" s="1050"/>
      <c r="UQH19" s="1050"/>
      <c r="UQI19" s="1050"/>
      <c r="UQJ19" s="1050"/>
      <c r="UQK19" s="1050"/>
      <c r="UQL19" s="1050"/>
      <c r="UQM19" s="1050"/>
      <c r="UQN19" s="1050"/>
      <c r="UQO19" s="1050"/>
      <c r="UQP19" s="1050"/>
      <c r="UQQ19" s="1050"/>
      <c r="UQR19" s="1050"/>
      <c r="UQS19" s="1050"/>
      <c r="UQT19" s="1050"/>
      <c r="UQU19" s="1050"/>
      <c r="UQV19" s="1050"/>
      <c r="UQW19" s="1050"/>
      <c r="UQX19" s="1050"/>
      <c r="UQY19" s="1050"/>
      <c r="UQZ19" s="1050"/>
      <c r="URA19" s="1050"/>
      <c r="URB19" s="1050"/>
      <c r="URC19" s="1050"/>
      <c r="URD19" s="1050"/>
      <c r="URE19" s="1050"/>
      <c r="URF19" s="1050"/>
      <c r="URG19" s="1050"/>
      <c r="URH19" s="1050"/>
      <c r="URI19" s="1050"/>
      <c r="URJ19" s="1050"/>
      <c r="URK19" s="1050"/>
      <c r="URL19" s="1050"/>
      <c r="URM19" s="1050"/>
      <c r="URN19" s="1050"/>
      <c r="URO19" s="1050"/>
      <c r="URP19" s="1050"/>
      <c r="URQ19" s="1050"/>
      <c r="URR19" s="1050"/>
      <c r="URS19" s="1050"/>
      <c r="URT19" s="1050"/>
      <c r="URU19" s="1050"/>
      <c r="URV19" s="1050"/>
      <c r="URW19" s="1050"/>
      <c r="URX19" s="1050"/>
      <c r="URY19" s="1050"/>
      <c r="URZ19" s="1050"/>
      <c r="USA19" s="1050"/>
      <c r="USB19" s="1050"/>
      <c r="USC19" s="1050"/>
      <c r="USD19" s="1050"/>
      <c r="USE19" s="1050"/>
      <c r="USF19" s="1050"/>
      <c r="USG19" s="1050"/>
      <c r="USH19" s="1050"/>
      <c r="USI19" s="1050"/>
      <c r="USJ19" s="1050"/>
      <c r="USK19" s="1050"/>
      <c r="USL19" s="1050"/>
      <c r="USM19" s="1050"/>
      <c r="USN19" s="1050"/>
      <c r="USO19" s="1050"/>
      <c r="USP19" s="1050"/>
      <c r="USQ19" s="1050"/>
      <c r="USR19" s="1050"/>
      <c r="USS19" s="1050"/>
      <c r="UST19" s="1050"/>
      <c r="USU19" s="1050"/>
      <c r="USV19" s="1050"/>
      <c r="USW19" s="1050"/>
      <c r="USX19" s="1050"/>
      <c r="USY19" s="1050"/>
      <c r="USZ19" s="1050"/>
      <c r="UTA19" s="1050"/>
      <c r="UTB19" s="1050"/>
      <c r="UTC19" s="1050"/>
      <c r="UTD19" s="1050"/>
      <c r="UTE19" s="1050"/>
      <c r="UTF19" s="1050"/>
      <c r="UTG19" s="1050"/>
      <c r="UTH19" s="1050"/>
      <c r="UTI19" s="1050"/>
      <c r="UTJ19" s="1050"/>
      <c r="UTK19" s="1050"/>
      <c r="UTL19" s="1050"/>
      <c r="UTM19" s="1050"/>
      <c r="UTN19" s="1050"/>
      <c r="UTO19" s="1050"/>
      <c r="UTP19" s="1050"/>
      <c r="UTQ19" s="1050"/>
      <c r="UTR19" s="1050"/>
      <c r="UTS19" s="1050"/>
      <c r="UTT19" s="1050"/>
      <c r="UTU19" s="1050"/>
      <c r="UTV19" s="1050"/>
      <c r="UTW19" s="1050"/>
      <c r="UTX19" s="1050"/>
      <c r="UTY19" s="1050"/>
      <c r="UTZ19" s="1050"/>
      <c r="UUA19" s="1050"/>
      <c r="UUB19" s="1050"/>
      <c r="UUC19" s="1050"/>
      <c r="UUD19" s="1050"/>
      <c r="UUE19" s="1050"/>
      <c r="UUF19" s="1050"/>
      <c r="UUG19" s="1050"/>
      <c r="UUH19" s="1050"/>
      <c r="UUI19" s="1050"/>
      <c r="UUJ19" s="1050"/>
      <c r="UUK19" s="1050"/>
      <c r="UUL19" s="1050"/>
      <c r="UUM19" s="1050"/>
      <c r="UUN19" s="1050"/>
      <c r="UUO19" s="1050"/>
      <c r="UUP19" s="1050"/>
      <c r="UUQ19" s="1050"/>
      <c r="UUR19" s="1050"/>
      <c r="UUS19" s="1050"/>
      <c r="UUT19" s="1050"/>
      <c r="UUU19" s="1050"/>
      <c r="UUV19" s="1050"/>
      <c r="UUW19" s="1050"/>
      <c r="UUX19" s="1050"/>
      <c r="UUY19" s="1050"/>
      <c r="UUZ19" s="1050"/>
      <c r="UVA19" s="1050"/>
      <c r="UVB19" s="1050"/>
      <c r="UVC19" s="1050"/>
      <c r="UVD19" s="1050"/>
      <c r="UVE19" s="1050"/>
      <c r="UVF19" s="1050"/>
      <c r="UVG19" s="1050"/>
      <c r="UVH19" s="1050"/>
      <c r="UVI19" s="1050"/>
      <c r="UVJ19" s="1050"/>
      <c r="UVK19" s="1050"/>
      <c r="UVL19" s="1050"/>
      <c r="UVM19" s="1050"/>
      <c r="UVN19" s="1050"/>
      <c r="UVO19" s="1050"/>
      <c r="UVP19" s="1050"/>
      <c r="UVQ19" s="1050"/>
      <c r="UVR19" s="1050"/>
      <c r="UVS19" s="1050"/>
      <c r="UVT19" s="1050"/>
      <c r="UVU19" s="1050"/>
      <c r="UVV19" s="1050"/>
      <c r="UVW19" s="1050"/>
      <c r="UVX19" s="1050"/>
      <c r="UVY19" s="1050"/>
      <c r="UVZ19" s="1050"/>
      <c r="UWA19" s="1050"/>
      <c r="UWB19" s="1050"/>
      <c r="UWC19" s="1050"/>
      <c r="UWD19" s="1050"/>
      <c r="UWE19" s="1050"/>
      <c r="UWF19" s="1050"/>
      <c r="UWG19" s="1050"/>
      <c r="UWH19" s="1050"/>
      <c r="UWI19" s="1050"/>
      <c r="UWJ19" s="1050"/>
      <c r="UWK19" s="1050"/>
      <c r="UWL19" s="1050"/>
      <c r="UWM19" s="1050"/>
      <c r="UWN19" s="1050"/>
      <c r="UWO19" s="1050"/>
      <c r="UWP19" s="1050"/>
      <c r="UWQ19" s="1050"/>
      <c r="UWR19" s="1050"/>
      <c r="UWS19" s="1050"/>
      <c r="UWT19" s="1050"/>
      <c r="UWU19" s="1050"/>
      <c r="UWV19" s="1050"/>
      <c r="UWW19" s="1050"/>
      <c r="UWX19" s="1050"/>
      <c r="UWY19" s="1050"/>
      <c r="UWZ19" s="1050"/>
      <c r="UXA19" s="1050"/>
      <c r="UXB19" s="1050"/>
      <c r="UXC19" s="1050"/>
      <c r="UXD19" s="1050"/>
      <c r="UXE19" s="1050"/>
      <c r="UXF19" s="1050"/>
      <c r="UXG19" s="1050"/>
      <c r="UXH19" s="1050"/>
      <c r="UXI19" s="1050"/>
      <c r="UXJ19" s="1050"/>
      <c r="UXK19" s="1050"/>
      <c r="UXL19" s="1050"/>
      <c r="UXM19" s="1050"/>
      <c r="UXN19" s="1050"/>
      <c r="UXO19" s="1050"/>
      <c r="UXP19" s="1050"/>
      <c r="UXQ19" s="1050"/>
      <c r="UXR19" s="1050"/>
      <c r="UXS19" s="1050"/>
      <c r="UXT19" s="1050"/>
      <c r="UXU19" s="1050"/>
      <c r="UXV19" s="1050"/>
      <c r="UXW19" s="1050"/>
      <c r="UXX19" s="1050"/>
      <c r="UXY19" s="1050"/>
      <c r="UXZ19" s="1050"/>
      <c r="UYA19" s="1050"/>
      <c r="UYB19" s="1050"/>
      <c r="UYC19" s="1050"/>
      <c r="UYD19" s="1050"/>
      <c r="UYE19" s="1050"/>
      <c r="UYF19" s="1050"/>
      <c r="UYG19" s="1050"/>
      <c r="UYH19" s="1050"/>
      <c r="UYI19" s="1050"/>
      <c r="UYJ19" s="1050"/>
      <c r="UYK19" s="1050"/>
      <c r="UYL19" s="1050"/>
      <c r="UYM19" s="1050"/>
      <c r="UYN19" s="1050"/>
      <c r="UYO19" s="1050"/>
      <c r="UYP19" s="1050"/>
      <c r="UYQ19" s="1050"/>
      <c r="UYR19" s="1050"/>
      <c r="UYS19" s="1050"/>
      <c r="UYT19" s="1050"/>
      <c r="UYU19" s="1050"/>
      <c r="UYV19" s="1050"/>
      <c r="UYW19" s="1050"/>
      <c r="UYX19" s="1050"/>
      <c r="UYY19" s="1050"/>
      <c r="UYZ19" s="1050"/>
      <c r="UZA19" s="1050"/>
      <c r="UZB19" s="1050"/>
      <c r="UZC19" s="1050"/>
      <c r="UZD19" s="1050"/>
      <c r="UZE19" s="1050"/>
      <c r="UZF19" s="1050"/>
      <c r="UZG19" s="1050"/>
      <c r="UZH19" s="1050"/>
      <c r="UZI19" s="1050"/>
      <c r="UZJ19" s="1050"/>
      <c r="UZK19" s="1050"/>
      <c r="UZL19" s="1050"/>
      <c r="UZM19" s="1050"/>
      <c r="UZN19" s="1050"/>
      <c r="UZO19" s="1050"/>
      <c r="UZP19" s="1050"/>
      <c r="UZQ19" s="1050"/>
      <c r="UZR19" s="1050"/>
      <c r="UZS19" s="1050"/>
      <c r="UZT19" s="1050"/>
      <c r="UZU19" s="1050"/>
      <c r="UZV19" s="1050"/>
      <c r="UZW19" s="1050"/>
      <c r="UZX19" s="1050"/>
      <c r="UZY19" s="1050"/>
      <c r="UZZ19" s="1050"/>
      <c r="VAA19" s="1050"/>
      <c r="VAB19" s="1050"/>
      <c r="VAC19" s="1050"/>
      <c r="VAD19" s="1050"/>
      <c r="VAE19" s="1050"/>
      <c r="VAF19" s="1050"/>
      <c r="VAG19" s="1050"/>
      <c r="VAH19" s="1050"/>
      <c r="VAI19" s="1050"/>
      <c r="VAJ19" s="1050"/>
      <c r="VAK19" s="1050"/>
      <c r="VAL19" s="1050"/>
      <c r="VAM19" s="1050"/>
      <c r="VAN19" s="1050"/>
      <c r="VAO19" s="1050"/>
      <c r="VAP19" s="1050"/>
      <c r="VAQ19" s="1050"/>
      <c r="VAR19" s="1050"/>
      <c r="VAS19" s="1050"/>
      <c r="VAT19" s="1050"/>
      <c r="VAU19" s="1050"/>
      <c r="VAV19" s="1050"/>
      <c r="VAW19" s="1050"/>
      <c r="VAX19" s="1050"/>
      <c r="VAY19" s="1050"/>
      <c r="VAZ19" s="1050"/>
      <c r="VBA19" s="1050"/>
      <c r="VBB19" s="1050"/>
      <c r="VBC19" s="1050"/>
      <c r="VBD19" s="1050"/>
      <c r="VBE19" s="1050"/>
      <c r="VBF19" s="1050"/>
      <c r="VBG19" s="1050"/>
      <c r="VBH19" s="1050"/>
      <c r="VBI19" s="1050"/>
      <c r="VBJ19" s="1050"/>
      <c r="VBK19" s="1050"/>
      <c r="VBL19" s="1050"/>
      <c r="VBM19" s="1050"/>
      <c r="VBN19" s="1050"/>
      <c r="VBO19" s="1050"/>
      <c r="VBP19" s="1050"/>
      <c r="VBQ19" s="1050"/>
      <c r="VBR19" s="1050"/>
      <c r="VBS19" s="1050"/>
      <c r="VBT19" s="1050"/>
      <c r="VBU19" s="1050"/>
      <c r="VBV19" s="1050"/>
      <c r="VBW19" s="1050"/>
      <c r="VBX19" s="1050"/>
      <c r="VBY19" s="1050"/>
      <c r="VBZ19" s="1050"/>
      <c r="VCA19" s="1050"/>
      <c r="VCB19" s="1050"/>
      <c r="VCC19" s="1050"/>
      <c r="VCD19" s="1050"/>
      <c r="VCE19" s="1050"/>
      <c r="VCF19" s="1050"/>
      <c r="VCG19" s="1050"/>
      <c r="VCH19" s="1050"/>
      <c r="VCI19" s="1050"/>
      <c r="VCJ19" s="1050"/>
      <c r="VCK19" s="1050"/>
      <c r="VCL19" s="1050"/>
      <c r="VCM19" s="1050"/>
      <c r="VCN19" s="1050"/>
      <c r="VCO19" s="1050"/>
      <c r="VCP19" s="1050"/>
      <c r="VCQ19" s="1050"/>
      <c r="VCR19" s="1050"/>
      <c r="VCS19" s="1050"/>
      <c r="VCT19" s="1050"/>
      <c r="VCU19" s="1050"/>
      <c r="VCV19" s="1050"/>
      <c r="VCW19" s="1050"/>
      <c r="VCX19" s="1050"/>
      <c r="VCY19" s="1050"/>
      <c r="VCZ19" s="1050"/>
      <c r="VDA19" s="1050"/>
      <c r="VDB19" s="1050"/>
      <c r="VDC19" s="1050"/>
      <c r="VDD19" s="1050"/>
      <c r="VDE19" s="1050"/>
      <c r="VDF19" s="1050"/>
      <c r="VDG19" s="1050"/>
      <c r="VDH19" s="1050"/>
      <c r="VDI19" s="1050"/>
      <c r="VDJ19" s="1050"/>
      <c r="VDK19" s="1050"/>
      <c r="VDL19" s="1050"/>
      <c r="VDM19" s="1050"/>
      <c r="VDN19" s="1050"/>
      <c r="VDO19" s="1050"/>
      <c r="VDP19" s="1050"/>
      <c r="VDQ19" s="1050"/>
      <c r="VDR19" s="1050"/>
      <c r="VDS19" s="1050"/>
      <c r="VDT19" s="1050"/>
      <c r="VDU19" s="1050"/>
      <c r="VDV19" s="1050"/>
      <c r="VDW19" s="1050"/>
      <c r="VDX19" s="1050"/>
      <c r="VDY19" s="1050"/>
      <c r="VDZ19" s="1050"/>
      <c r="VEA19" s="1050"/>
      <c r="VEB19" s="1050"/>
      <c r="VEC19" s="1050"/>
      <c r="VED19" s="1050"/>
      <c r="VEE19" s="1050"/>
      <c r="VEF19" s="1050"/>
      <c r="VEG19" s="1050"/>
      <c r="VEH19" s="1050"/>
      <c r="VEI19" s="1050"/>
      <c r="VEJ19" s="1050"/>
      <c r="VEK19" s="1050"/>
      <c r="VEL19" s="1050"/>
      <c r="VEM19" s="1050"/>
      <c r="VEN19" s="1050"/>
      <c r="VEO19" s="1050"/>
      <c r="VEP19" s="1050"/>
      <c r="VEQ19" s="1050"/>
      <c r="VER19" s="1050"/>
      <c r="VES19" s="1050"/>
      <c r="VET19" s="1050"/>
      <c r="VEU19" s="1050"/>
      <c r="VEV19" s="1050"/>
      <c r="VEW19" s="1050"/>
      <c r="VEX19" s="1050"/>
      <c r="VEY19" s="1050"/>
      <c r="VEZ19" s="1050"/>
      <c r="VFA19" s="1050"/>
      <c r="VFB19" s="1050"/>
      <c r="VFC19" s="1050"/>
      <c r="VFD19" s="1050"/>
      <c r="VFE19" s="1050"/>
      <c r="VFF19" s="1050"/>
      <c r="VFG19" s="1050"/>
      <c r="VFH19" s="1050"/>
      <c r="VFI19" s="1050"/>
      <c r="VFJ19" s="1050"/>
      <c r="VFK19" s="1050"/>
      <c r="VFL19" s="1050"/>
      <c r="VFM19" s="1050"/>
      <c r="VFN19" s="1050"/>
      <c r="VFO19" s="1050"/>
      <c r="VFP19" s="1050"/>
      <c r="VFQ19" s="1050"/>
      <c r="VFR19" s="1050"/>
      <c r="VFS19" s="1050"/>
      <c r="VFT19" s="1050"/>
      <c r="VFU19" s="1050"/>
      <c r="VFV19" s="1050"/>
      <c r="VFW19" s="1050"/>
      <c r="VFX19" s="1050"/>
      <c r="VFY19" s="1050"/>
      <c r="VFZ19" s="1050"/>
      <c r="VGA19" s="1050"/>
      <c r="VGB19" s="1050"/>
      <c r="VGC19" s="1050"/>
      <c r="VGD19" s="1050"/>
      <c r="VGE19" s="1050"/>
      <c r="VGF19" s="1050"/>
      <c r="VGG19" s="1050"/>
      <c r="VGH19" s="1050"/>
      <c r="VGI19" s="1050"/>
      <c r="VGJ19" s="1050"/>
      <c r="VGK19" s="1050"/>
      <c r="VGL19" s="1050"/>
      <c r="VGM19" s="1050"/>
      <c r="VGN19" s="1050"/>
      <c r="VGO19" s="1050"/>
      <c r="VGP19" s="1050"/>
      <c r="VGQ19" s="1050"/>
      <c r="VGR19" s="1050"/>
      <c r="VGS19" s="1050"/>
      <c r="VGT19" s="1050"/>
      <c r="VGU19" s="1050"/>
      <c r="VGV19" s="1050"/>
      <c r="VGW19" s="1050"/>
      <c r="VGX19" s="1050"/>
      <c r="VGY19" s="1050"/>
      <c r="VGZ19" s="1050"/>
      <c r="VHA19" s="1050"/>
      <c r="VHB19" s="1050"/>
      <c r="VHC19" s="1050"/>
      <c r="VHD19" s="1050"/>
      <c r="VHE19" s="1050"/>
      <c r="VHF19" s="1050"/>
      <c r="VHG19" s="1050"/>
      <c r="VHH19" s="1050"/>
      <c r="VHI19" s="1050"/>
      <c r="VHJ19" s="1050"/>
      <c r="VHK19" s="1050"/>
      <c r="VHL19" s="1050"/>
      <c r="VHM19" s="1050"/>
      <c r="VHN19" s="1050"/>
      <c r="VHO19" s="1050"/>
      <c r="VHP19" s="1050"/>
      <c r="VHQ19" s="1050"/>
      <c r="VHR19" s="1050"/>
      <c r="VHS19" s="1050"/>
      <c r="VHT19" s="1050"/>
      <c r="VHU19" s="1050"/>
      <c r="VHV19" s="1050"/>
      <c r="VHW19" s="1050"/>
      <c r="VHX19" s="1050"/>
      <c r="VHY19" s="1050"/>
      <c r="VHZ19" s="1050"/>
      <c r="VIA19" s="1050"/>
      <c r="VIB19" s="1050"/>
      <c r="VIC19" s="1050"/>
      <c r="VID19" s="1050"/>
      <c r="VIE19" s="1050"/>
      <c r="VIF19" s="1050"/>
      <c r="VIG19" s="1050"/>
      <c r="VIH19" s="1050"/>
      <c r="VII19" s="1050"/>
      <c r="VIJ19" s="1050"/>
      <c r="VIK19" s="1050"/>
      <c r="VIL19" s="1050"/>
      <c r="VIM19" s="1050"/>
      <c r="VIN19" s="1050"/>
      <c r="VIO19" s="1050"/>
      <c r="VIP19" s="1050"/>
      <c r="VIQ19" s="1050"/>
      <c r="VIR19" s="1050"/>
      <c r="VIS19" s="1050"/>
      <c r="VIT19" s="1050"/>
      <c r="VIU19" s="1050"/>
      <c r="VIV19" s="1050"/>
      <c r="VIW19" s="1050"/>
      <c r="VIX19" s="1050"/>
      <c r="VIY19" s="1050"/>
      <c r="VIZ19" s="1050"/>
      <c r="VJA19" s="1050"/>
      <c r="VJB19" s="1050"/>
      <c r="VJC19" s="1050"/>
      <c r="VJD19" s="1050"/>
      <c r="VJE19" s="1050"/>
      <c r="VJF19" s="1050"/>
      <c r="VJG19" s="1050"/>
      <c r="VJH19" s="1050"/>
      <c r="VJI19" s="1050"/>
      <c r="VJJ19" s="1050"/>
      <c r="VJK19" s="1050"/>
      <c r="VJL19" s="1050"/>
      <c r="VJM19" s="1050"/>
      <c r="VJN19" s="1050"/>
      <c r="VJO19" s="1050"/>
      <c r="VJP19" s="1050"/>
      <c r="VJQ19" s="1050"/>
      <c r="VJR19" s="1050"/>
      <c r="VJS19" s="1050"/>
      <c r="VJT19" s="1050"/>
      <c r="VJU19" s="1050"/>
      <c r="VJV19" s="1050"/>
      <c r="VJW19" s="1050"/>
      <c r="VJX19" s="1050"/>
      <c r="VJY19" s="1050"/>
      <c r="VJZ19" s="1050"/>
      <c r="VKA19" s="1050"/>
      <c r="VKB19" s="1050"/>
      <c r="VKC19" s="1050"/>
      <c r="VKD19" s="1050"/>
      <c r="VKE19" s="1050"/>
      <c r="VKF19" s="1050"/>
      <c r="VKG19" s="1050"/>
      <c r="VKH19" s="1050"/>
      <c r="VKI19" s="1050"/>
      <c r="VKJ19" s="1050"/>
      <c r="VKK19" s="1050"/>
      <c r="VKL19" s="1050"/>
      <c r="VKM19" s="1050"/>
      <c r="VKN19" s="1050"/>
      <c r="VKO19" s="1050"/>
      <c r="VKP19" s="1050"/>
      <c r="VKQ19" s="1050"/>
      <c r="VKR19" s="1050"/>
      <c r="VKS19" s="1050"/>
      <c r="VKT19" s="1050"/>
      <c r="VKU19" s="1050"/>
      <c r="VKV19" s="1050"/>
      <c r="VKW19" s="1050"/>
      <c r="VKX19" s="1050"/>
      <c r="VKY19" s="1050"/>
      <c r="VKZ19" s="1050"/>
      <c r="VLA19" s="1050"/>
      <c r="VLB19" s="1050"/>
      <c r="VLC19" s="1050"/>
      <c r="VLD19" s="1050"/>
      <c r="VLE19" s="1050"/>
      <c r="VLF19" s="1050"/>
      <c r="VLG19" s="1050"/>
      <c r="VLH19" s="1050"/>
      <c r="VLI19" s="1050"/>
      <c r="VLJ19" s="1050"/>
      <c r="VLK19" s="1050"/>
      <c r="VLL19" s="1050"/>
      <c r="VLM19" s="1050"/>
      <c r="VLN19" s="1050"/>
      <c r="VLO19" s="1050"/>
      <c r="VLP19" s="1050"/>
      <c r="VLQ19" s="1050"/>
      <c r="VLR19" s="1050"/>
      <c r="VLS19" s="1050"/>
      <c r="VLT19" s="1050"/>
      <c r="VLU19" s="1050"/>
      <c r="VLV19" s="1050"/>
      <c r="VLW19" s="1050"/>
      <c r="VLX19" s="1050"/>
      <c r="VLY19" s="1050"/>
      <c r="VLZ19" s="1050"/>
      <c r="VMA19" s="1050"/>
      <c r="VMB19" s="1050"/>
      <c r="VMC19" s="1050"/>
      <c r="VMD19" s="1050"/>
      <c r="VME19" s="1050"/>
      <c r="VMF19" s="1050"/>
      <c r="VMG19" s="1050"/>
      <c r="VMH19" s="1050"/>
      <c r="VMI19" s="1050"/>
      <c r="VMJ19" s="1050"/>
      <c r="VMK19" s="1050"/>
      <c r="VML19" s="1050"/>
      <c r="VMM19" s="1050"/>
      <c r="VMN19" s="1050"/>
      <c r="VMO19" s="1050"/>
      <c r="VMP19" s="1050"/>
      <c r="VMQ19" s="1050"/>
      <c r="VMR19" s="1050"/>
      <c r="VMS19" s="1050"/>
      <c r="VMT19" s="1050"/>
      <c r="VMU19" s="1050"/>
      <c r="VMV19" s="1050"/>
      <c r="VMW19" s="1050"/>
      <c r="VMX19" s="1050"/>
      <c r="VMY19" s="1050"/>
      <c r="VMZ19" s="1050"/>
      <c r="VNA19" s="1050"/>
      <c r="VNB19" s="1050"/>
      <c r="VNC19" s="1050"/>
      <c r="VND19" s="1050"/>
      <c r="VNE19" s="1050"/>
      <c r="VNF19" s="1050"/>
      <c r="VNG19" s="1050"/>
      <c r="VNH19" s="1050"/>
      <c r="VNI19" s="1050"/>
      <c r="VNJ19" s="1050"/>
      <c r="VNK19" s="1050"/>
      <c r="VNL19" s="1050"/>
      <c r="VNM19" s="1050"/>
      <c r="VNN19" s="1050"/>
      <c r="VNO19" s="1050"/>
      <c r="VNP19" s="1050"/>
      <c r="VNQ19" s="1050"/>
      <c r="VNR19" s="1050"/>
      <c r="VNS19" s="1050"/>
      <c r="VNT19" s="1050"/>
      <c r="VNU19" s="1050"/>
      <c r="VNV19" s="1050"/>
      <c r="VNW19" s="1050"/>
      <c r="VNX19" s="1050"/>
      <c r="VNY19" s="1050"/>
      <c r="VNZ19" s="1050"/>
      <c r="VOA19" s="1050"/>
      <c r="VOB19" s="1050"/>
      <c r="VOC19" s="1050"/>
      <c r="VOD19" s="1050"/>
      <c r="VOE19" s="1050"/>
      <c r="VOF19" s="1050"/>
      <c r="VOG19" s="1050"/>
      <c r="VOH19" s="1050"/>
      <c r="VOI19" s="1050"/>
      <c r="VOJ19" s="1050"/>
      <c r="VOK19" s="1050"/>
      <c r="VOL19" s="1050"/>
      <c r="VOM19" s="1050"/>
      <c r="VON19" s="1050"/>
      <c r="VOO19" s="1050"/>
      <c r="VOP19" s="1050"/>
      <c r="VOQ19" s="1050"/>
      <c r="VOR19" s="1050"/>
      <c r="VOS19" s="1050"/>
      <c r="VOT19" s="1050"/>
      <c r="VOU19" s="1050"/>
      <c r="VOV19" s="1050"/>
      <c r="VOW19" s="1050"/>
      <c r="VOX19" s="1050"/>
      <c r="VOY19" s="1050"/>
      <c r="VOZ19" s="1050"/>
      <c r="VPA19" s="1050"/>
      <c r="VPB19" s="1050"/>
      <c r="VPC19" s="1050"/>
      <c r="VPD19" s="1050"/>
      <c r="VPE19" s="1050"/>
      <c r="VPF19" s="1050"/>
      <c r="VPG19" s="1050"/>
      <c r="VPH19" s="1050"/>
      <c r="VPI19" s="1050"/>
      <c r="VPJ19" s="1050"/>
      <c r="VPK19" s="1050"/>
      <c r="VPL19" s="1050"/>
      <c r="VPM19" s="1050"/>
      <c r="VPN19" s="1050"/>
      <c r="VPO19" s="1050"/>
      <c r="VPP19" s="1050"/>
      <c r="VPQ19" s="1050"/>
      <c r="VPR19" s="1050"/>
      <c r="VPS19" s="1050"/>
      <c r="VPT19" s="1050"/>
      <c r="VPU19" s="1050"/>
      <c r="VPV19" s="1050"/>
      <c r="VPW19" s="1050"/>
      <c r="VPX19" s="1050"/>
      <c r="VPY19" s="1050"/>
      <c r="VPZ19" s="1050"/>
      <c r="VQA19" s="1050"/>
      <c r="VQB19" s="1050"/>
      <c r="VQC19" s="1050"/>
      <c r="VQD19" s="1050"/>
      <c r="VQE19" s="1050"/>
      <c r="VQF19" s="1050"/>
      <c r="VQG19" s="1050"/>
      <c r="VQH19" s="1050"/>
      <c r="VQI19" s="1050"/>
      <c r="VQJ19" s="1050"/>
      <c r="VQK19" s="1050"/>
      <c r="VQL19" s="1050"/>
      <c r="VQM19" s="1050"/>
      <c r="VQN19" s="1050"/>
      <c r="VQO19" s="1050"/>
      <c r="VQP19" s="1050"/>
      <c r="VQQ19" s="1050"/>
      <c r="VQR19" s="1050"/>
      <c r="VQS19" s="1050"/>
      <c r="VQT19" s="1050"/>
      <c r="VQU19" s="1050"/>
      <c r="VQV19" s="1050"/>
      <c r="VQW19" s="1050"/>
      <c r="VQX19" s="1050"/>
      <c r="VQY19" s="1050"/>
      <c r="VQZ19" s="1050"/>
      <c r="VRA19" s="1050"/>
      <c r="VRB19" s="1050"/>
      <c r="VRC19" s="1050"/>
      <c r="VRD19" s="1050"/>
      <c r="VRE19" s="1050"/>
      <c r="VRF19" s="1050"/>
      <c r="VRG19" s="1050"/>
      <c r="VRH19" s="1050"/>
      <c r="VRI19" s="1050"/>
      <c r="VRJ19" s="1050"/>
      <c r="VRK19" s="1050"/>
      <c r="VRL19" s="1050"/>
      <c r="VRM19" s="1050"/>
      <c r="VRN19" s="1050"/>
      <c r="VRO19" s="1050"/>
      <c r="VRP19" s="1050"/>
      <c r="VRQ19" s="1050"/>
      <c r="VRR19" s="1050"/>
      <c r="VRS19" s="1050"/>
      <c r="VRT19" s="1050"/>
      <c r="VRU19" s="1050"/>
      <c r="VRV19" s="1050"/>
      <c r="VRW19" s="1050"/>
      <c r="VRX19" s="1050"/>
      <c r="VRY19" s="1050"/>
      <c r="VRZ19" s="1050"/>
      <c r="VSA19" s="1050"/>
      <c r="VSB19" s="1050"/>
      <c r="VSC19" s="1050"/>
      <c r="VSD19" s="1050"/>
      <c r="VSE19" s="1050"/>
      <c r="VSF19" s="1050"/>
      <c r="VSG19" s="1050"/>
      <c r="VSH19" s="1050"/>
      <c r="VSI19" s="1050"/>
      <c r="VSJ19" s="1050"/>
      <c r="VSK19" s="1050"/>
      <c r="VSL19" s="1050"/>
      <c r="VSM19" s="1050"/>
      <c r="VSN19" s="1050"/>
      <c r="VSO19" s="1050"/>
      <c r="VSP19" s="1050"/>
      <c r="VSQ19" s="1050"/>
      <c r="VSR19" s="1050"/>
      <c r="VSS19" s="1050"/>
      <c r="VST19" s="1050"/>
      <c r="VSU19" s="1050"/>
      <c r="VSV19" s="1050"/>
      <c r="VSW19" s="1050"/>
      <c r="VSX19" s="1050"/>
      <c r="VSY19" s="1050"/>
      <c r="VSZ19" s="1050"/>
      <c r="VTA19" s="1050"/>
      <c r="VTB19" s="1050"/>
      <c r="VTC19" s="1050"/>
      <c r="VTD19" s="1050"/>
      <c r="VTE19" s="1050"/>
      <c r="VTF19" s="1050"/>
      <c r="VTG19" s="1050"/>
      <c r="VTH19" s="1050"/>
      <c r="VTI19" s="1050"/>
      <c r="VTJ19" s="1050"/>
      <c r="VTK19" s="1050"/>
      <c r="VTL19" s="1050"/>
      <c r="VTM19" s="1050"/>
      <c r="VTN19" s="1050"/>
      <c r="VTO19" s="1050"/>
      <c r="VTP19" s="1050"/>
      <c r="VTQ19" s="1050"/>
      <c r="VTR19" s="1050"/>
      <c r="VTS19" s="1050"/>
      <c r="VTT19" s="1050"/>
      <c r="VTU19" s="1050"/>
      <c r="VTV19" s="1050"/>
      <c r="VTW19" s="1050"/>
      <c r="VTX19" s="1050"/>
      <c r="VTY19" s="1050"/>
      <c r="VTZ19" s="1050"/>
      <c r="VUA19" s="1050"/>
      <c r="VUB19" s="1050"/>
      <c r="VUC19" s="1050"/>
      <c r="VUD19" s="1050"/>
      <c r="VUE19" s="1050"/>
      <c r="VUF19" s="1050"/>
      <c r="VUG19" s="1050"/>
      <c r="VUH19" s="1050"/>
      <c r="VUI19" s="1050"/>
      <c r="VUJ19" s="1050"/>
      <c r="VUK19" s="1050"/>
      <c r="VUL19" s="1050"/>
      <c r="VUM19" s="1050"/>
      <c r="VUN19" s="1050"/>
      <c r="VUO19" s="1050"/>
      <c r="VUP19" s="1050"/>
      <c r="VUQ19" s="1050"/>
      <c r="VUR19" s="1050"/>
      <c r="VUS19" s="1050"/>
      <c r="VUT19" s="1050"/>
      <c r="VUU19" s="1050"/>
      <c r="VUV19" s="1050"/>
      <c r="VUW19" s="1050"/>
      <c r="VUX19" s="1050"/>
      <c r="VUY19" s="1050"/>
      <c r="VUZ19" s="1050"/>
      <c r="VVA19" s="1050"/>
      <c r="VVB19" s="1050"/>
      <c r="VVC19" s="1050"/>
      <c r="VVD19" s="1050"/>
      <c r="VVE19" s="1050"/>
      <c r="VVF19" s="1050"/>
      <c r="VVG19" s="1050"/>
      <c r="VVH19" s="1050"/>
      <c r="VVI19" s="1050"/>
      <c r="VVJ19" s="1050"/>
      <c r="VVK19" s="1050"/>
      <c r="VVL19" s="1050"/>
      <c r="VVM19" s="1050"/>
      <c r="VVN19" s="1050"/>
      <c r="VVO19" s="1050"/>
      <c r="VVP19" s="1050"/>
      <c r="VVQ19" s="1050"/>
      <c r="VVR19" s="1050"/>
      <c r="VVS19" s="1050"/>
      <c r="VVT19" s="1050"/>
      <c r="VVU19" s="1050"/>
      <c r="VVV19" s="1050"/>
      <c r="VVW19" s="1050"/>
      <c r="VVX19" s="1050"/>
      <c r="VVY19" s="1050"/>
      <c r="VVZ19" s="1050"/>
      <c r="VWA19" s="1050"/>
      <c r="VWB19" s="1050"/>
      <c r="VWC19" s="1050"/>
      <c r="VWD19" s="1050"/>
      <c r="VWE19" s="1050"/>
      <c r="VWF19" s="1050"/>
      <c r="VWG19" s="1050"/>
      <c r="VWH19" s="1050"/>
      <c r="VWI19" s="1050"/>
      <c r="VWJ19" s="1050"/>
      <c r="VWK19" s="1050"/>
      <c r="VWL19" s="1050"/>
      <c r="VWM19" s="1050"/>
      <c r="VWN19" s="1050"/>
      <c r="VWO19" s="1050"/>
      <c r="VWP19" s="1050"/>
      <c r="VWQ19" s="1050"/>
      <c r="VWR19" s="1050"/>
      <c r="VWS19" s="1050"/>
      <c r="VWT19" s="1050"/>
      <c r="VWU19" s="1050"/>
      <c r="VWV19" s="1050"/>
      <c r="VWW19" s="1050"/>
      <c r="VWX19" s="1050"/>
      <c r="VWY19" s="1050"/>
      <c r="VWZ19" s="1050"/>
      <c r="VXA19" s="1050"/>
      <c r="VXB19" s="1050"/>
      <c r="VXC19" s="1050"/>
      <c r="VXD19" s="1050"/>
      <c r="VXE19" s="1050"/>
      <c r="VXF19" s="1050"/>
      <c r="VXG19" s="1050"/>
      <c r="VXH19" s="1050"/>
      <c r="VXI19" s="1050"/>
      <c r="VXJ19" s="1050"/>
      <c r="VXK19" s="1050"/>
      <c r="VXL19" s="1050"/>
      <c r="VXM19" s="1050"/>
      <c r="VXN19" s="1050"/>
      <c r="VXO19" s="1050"/>
      <c r="VXP19" s="1050"/>
      <c r="VXQ19" s="1050"/>
      <c r="VXR19" s="1050"/>
      <c r="VXS19" s="1050"/>
      <c r="VXT19" s="1050"/>
      <c r="VXU19" s="1050"/>
      <c r="VXV19" s="1050"/>
      <c r="VXW19" s="1050"/>
      <c r="VXX19" s="1050"/>
      <c r="VXY19" s="1050"/>
      <c r="VXZ19" s="1050"/>
      <c r="VYA19" s="1050"/>
      <c r="VYB19" s="1050"/>
      <c r="VYC19" s="1050"/>
      <c r="VYD19" s="1050"/>
      <c r="VYE19" s="1050"/>
      <c r="VYF19" s="1050"/>
      <c r="VYG19" s="1050"/>
      <c r="VYH19" s="1050"/>
      <c r="VYI19" s="1050"/>
      <c r="VYJ19" s="1050"/>
      <c r="VYK19" s="1050"/>
      <c r="VYL19" s="1050"/>
      <c r="VYM19" s="1050"/>
      <c r="VYN19" s="1050"/>
      <c r="VYO19" s="1050"/>
      <c r="VYP19" s="1050"/>
      <c r="VYQ19" s="1050"/>
      <c r="VYR19" s="1050"/>
      <c r="VYS19" s="1050"/>
      <c r="VYT19" s="1050"/>
      <c r="VYU19" s="1050"/>
      <c r="VYV19" s="1050"/>
      <c r="VYW19" s="1050"/>
      <c r="VYX19" s="1050"/>
      <c r="VYY19" s="1050"/>
      <c r="VYZ19" s="1050"/>
      <c r="VZA19" s="1050"/>
      <c r="VZB19" s="1050"/>
      <c r="VZC19" s="1050"/>
      <c r="VZD19" s="1050"/>
      <c r="VZE19" s="1050"/>
      <c r="VZF19" s="1050"/>
      <c r="VZG19" s="1050"/>
      <c r="VZH19" s="1050"/>
      <c r="VZI19" s="1050"/>
      <c r="VZJ19" s="1050"/>
      <c r="VZK19" s="1050"/>
      <c r="VZL19" s="1050"/>
      <c r="VZM19" s="1050"/>
      <c r="VZN19" s="1050"/>
      <c r="VZO19" s="1050"/>
      <c r="VZP19" s="1050"/>
      <c r="VZQ19" s="1050"/>
      <c r="VZR19" s="1050"/>
      <c r="VZS19" s="1050"/>
      <c r="VZT19" s="1050"/>
      <c r="VZU19" s="1050"/>
      <c r="VZV19" s="1050"/>
      <c r="VZW19" s="1050"/>
      <c r="VZX19" s="1050"/>
      <c r="VZY19" s="1050"/>
      <c r="VZZ19" s="1050"/>
      <c r="WAA19" s="1050"/>
      <c r="WAB19" s="1050"/>
      <c r="WAC19" s="1050"/>
      <c r="WAD19" s="1050"/>
      <c r="WAE19" s="1050"/>
      <c r="WAF19" s="1050"/>
      <c r="WAG19" s="1050"/>
      <c r="WAH19" s="1050"/>
      <c r="WAI19" s="1050"/>
      <c r="WAJ19" s="1050"/>
      <c r="WAK19" s="1050"/>
      <c r="WAL19" s="1050"/>
      <c r="WAM19" s="1050"/>
      <c r="WAN19" s="1050"/>
      <c r="WAO19" s="1050"/>
      <c r="WAP19" s="1050"/>
      <c r="WAQ19" s="1050"/>
      <c r="WAR19" s="1050"/>
      <c r="WAS19" s="1050"/>
      <c r="WAT19" s="1050"/>
      <c r="WAU19" s="1050"/>
      <c r="WAV19" s="1050"/>
      <c r="WAW19" s="1050"/>
      <c r="WAX19" s="1050"/>
      <c r="WAY19" s="1050"/>
      <c r="WAZ19" s="1050"/>
      <c r="WBA19" s="1050"/>
      <c r="WBB19" s="1050"/>
      <c r="WBC19" s="1050"/>
      <c r="WBD19" s="1050"/>
      <c r="WBE19" s="1050"/>
      <c r="WBF19" s="1050"/>
      <c r="WBG19" s="1050"/>
      <c r="WBH19" s="1050"/>
      <c r="WBI19" s="1050"/>
      <c r="WBJ19" s="1050"/>
      <c r="WBK19" s="1050"/>
      <c r="WBL19" s="1050"/>
      <c r="WBM19" s="1050"/>
      <c r="WBN19" s="1050"/>
      <c r="WBO19" s="1050"/>
      <c r="WBP19" s="1050"/>
      <c r="WBQ19" s="1050"/>
      <c r="WBR19" s="1050"/>
      <c r="WBS19" s="1050"/>
      <c r="WBT19" s="1050"/>
      <c r="WBU19" s="1050"/>
      <c r="WBV19" s="1050"/>
      <c r="WBW19" s="1050"/>
      <c r="WBX19" s="1050"/>
      <c r="WBY19" s="1050"/>
      <c r="WBZ19" s="1050"/>
      <c r="WCA19" s="1050"/>
      <c r="WCB19" s="1050"/>
      <c r="WCC19" s="1050"/>
      <c r="WCD19" s="1050"/>
      <c r="WCE19" s="1050"/>
      <c r="WCF19" s="1050"/>
      <c r="WCG19" s="1050"/>
      <c r="WCH19" s="1050"/>
      <c r="WCI19" s="1050"/>
      <c r="WCJ19" s="1050"/>
      <c r="WCK19" s="1050"/>
      <c r="WCL19" s="1050"/>
      <c r="WCM19" s="1050"/>
      <c r="WCN19" s="1050"/>
      <c r="WCO19" s="1050"/>
      <c r="WCP19" s="1050"/>
      <c r="WCQ19" s="1050"/>
      <c r="WCR19" s="1050"/>
      <c r="WCS19" s="1050"/>
      <c r="WCT19" s="1050"/>
      <c r="WCU19" s="1050"/>
      <c r="WCV19" s="1050"/>
      <c r="WCW19" s="1050"/>
      <c r="WCX19" s="1050"/>
      <c r="WCY19" s="1050"/>
      <c r="WCZ19" s="1050"/>
      <c r="WDA19" s="1050"/>
      <c r="WDB19" s="1050"/>
      <c r="WDC19" s="1050"/>
      <c r="WDD19" s="1050"/>
      <c r="WDE19" s="1050"/>
      <c r="WDF19" s="1050"/>
      <c r="WDG19" s="1050"/>
      <c r="WDH19" s="1050"/>
      <c r="WDI19" s="1050"/>
      <c r="WDJ19" s="1050"/>
      <c r="WDK19" s="1050"/>
      <c r="WDL19" s="1050"/>
      <c r="WDM19" s="1050"/>
      <c r="WDN19" s="1050"/>
      <c r="WDO19" s="1050"/>
      <c r="WDP19" s="1050"/>
      <c r="WDQ19" s="1050"/>
      <c r="WDR19" s="1050"/>
      <c r="WDS19" s="1050"/>
      <c r="WDT19" s="1050"/>
      <c r="WDU19" s="1050"/>
      <c r="WDV19" s="1050"/>
      <c r="WDW19" s="1050"/>
      <c r="WDX19" s="1050"/>
      <c r="WDY19" s="1050"/>
      <c r="WDZ19" s="1050"/>
      <c r="WEA19" s="1050"/>
      <c r="WEB19" s="1050"/>
      <c r="WEC19" s="1050"/>
      <c r="WED19" s="1050"/>
      <c r="WEE19" s="1050"/>
      <c r="WEF19" s="1050"/>
      <c r="WEG19" s="1050"/>
      <c r="WEH19" s="1050"/>
      <c r="WEI19" s="1050"/>
      <c r="WEJ19" s="1050"/>
      <c r="WEK19" s="1050"/>
      <c r="WEL19" s="1050"/>
      <c r="WEM19" s="1050"/>
      <c r="WEN19" s="1050"/>
      <c r="WEO19" s="1050"/>
      <c r="WEP19" s="1050"/>
      <c r="WEQ19" s="1050"/>
      <c r="WER19" s="1050"/>
      <c r="WES19" s="1050"/>
      <c r="WET19" s="1050"/>
      <c r="WEU19" s="1050"/>
      <c r="WEV19" s="1050"/>
      <c r="WEW19" s="1050"/>
      <c r="WEX19" s="1050"/>
      <c r="WEY19" s="1050"/>
      <c r="WEZ19" s="1050"/>
      <c r="WFA19" s="1050"/>
      <c r="WFB19" s="1050"/>
      <c r="WFC19" s="1050"/>
      <c r="WFD19" s="1050"/>
      <c r="WFE19" s="1050"/>
      <c r="WFF19" s="1050"/>
      <c r="WFG19" s="1050"/>
      <c r="WFH19" s="1050"/>
      <c r="WFI19" s="1050"/>
      <c r="WFJ19" s="1050"/>
      <c r="WFK19" s="1050"/>
      <c r="WFL19" s="1050"/>
      <c r="WFM19" s="1050"/>
      <c r="WFN19" s="1050"/>
      <c r="WFO19" s="1050"/>
      <c r="WFP19" s="1050"/>
      <c r="WFQ19" s="1050"/>
      <c r="WFR19" s="1050"/>
      <c r="WFS19" s="1050"/>
      <c r="WFT19" s="1050"/>
      <c r="WFU19" s="1050"/>
      <c r="WFV19" s="1050"/>
      <c r="WFW19" s="1050"/>
      <c r="WFX19" s="1050"/>
      <c r="WFY19" s="1050"/>
      <c r="WFZ19" s="1050"/>
      <c r="WGA19" s="1050"/>
      <c r="WGB19" s="1050"/>
      <c r="WGC19" s="1050"/>
      <c r="WGD19" s="1050"/>
      <c r="WGE19" s="1050"/>
      <c r="WGF19" s="1050"/>
      <c r="WGG19" s="1050"/>
      <c r="WGH19" s="1050"/>
      <c r="WGI19" s="1050"/>
      <c r="WGJ19" s="1050"/>
      <c r="WGK19" s="1050"/>
      <c r="WGL19" s="1050"/>
      <c r="WGM19" s="1050"/>
      <c r="WGN19" s="1050"/>
      <c r="WGO19" s="1050"/>
      <c r="WGP19" s="1050"/>
      <c r="WGQ19" s="1050"/>
      <c r="WGR19" s="1050"/>
      <c r="WGS19" s="1050"/>
      <c r="WGT19" s="1050"/>
      <c r="WGU19" s="1050"/>
      <c r="WGV19" s="1050"/>
      <c r="WGW19" s="1050"/>
      <c r="WGX19" s="1050"/>
      <c r="WGY19" s="1050"/>
      <c r="WGZ19" s="1050"/>
      <c r="WHA19" s="1050"/>
      <c r="WHB19" s="1050"/>
      <c r="WHC19" s="1050"/>
      <c r="WHD19" s="1050"/>
      <c r="WHE19" s="1050"/>
      <c r="WHF19" s="1050"/>
      <c r="WHG19" s="1050"/>
      <c r="WHH19" s="1050"/>
      <c r="WHI19" s="1050"/>
      <c r="WHJ19" s="1050"/>
      <c r="WHK19" s="1050"/>
      <c r="WHL19" s="1050"/>
      <c r="WHM19" s="1050"/>
      <c r="WHN19" s="1050"/>
      <c r="WHO19" s="1050"/>
      <c r="WHP19" s="1050"/>
      <c r="WHQ19" s="1050"/>
      <c r="WHR19" s="1050"/>
      <c r="WHS19" s="1050"/>
      <c r="WHT19" s="1050"/>
      <c r="WHU19" s="1050"/>
      <c r="WHV19" s="1050"/>
      <c r="WHW19" s="1050"/>
      <c r="WHX19" s="1050"/>
      <c r="WHY19" s="1050"/>
      <c r="WHZ19" s="1050"/>
      <c r="WIA19" s="1050"/>
      <c r="WIB19" s="1050"/>
      <c r="WIC19" s="1050"/>
      <c r="WID19" s="1050"/>
      <c r="WIE19" s="1050"/>
      <c r="WIF19" s="1050"/>
      <c r="WIG19" s="1050"/>
      <c r="WIH19" s="1050"/>
      <c r="WII19" s="1050"/>
      <c r="WIJ19" s="1050"/>
      <c r="WIK19" s="1050"/>
      <c r="WIL19" s="1050"/>
      <c r="WIM19" s="1050"/>
      <c r="WIN19" s="1050"/>
      <c r="WIO19" s="1050"/>
      <c r="WIP19" s="1050"/>
      <c r="WIQ19" s="1050"/>
      <c r="WIR19" s="1050"/>
      <c r="WIS19" s="1050"/>
      <c r="WIT19" s="1050"/>
      <c r="WIU19" s="1050"/>
      <c r="WIV19" s="1050"/>
      <c r="WIW19" s="1050"/>
      <c r="WIX19" s="1050"/>
      <c r="WIY19" s="1050"/>
      <c r="WIZ19" s="1050"/>
      <c r="WJA19" s="1050"/>
      <c r="WJB19" s="1050"/>
      <c r="WJC19" s="1050"/>
      <c r="WJD19" s="1050"/>
      <c r="WJE19" s="1050"/>
      <c r="WJF19" s="1050"/>
      <c r="WJG19" s="1050"/>
      <c r="WJH19" s="1050"/>
      <c r="WJI19" s="1050"/>
      <c r="WJJ19" s="1050"/>
      <c r="WJK19" s="1050"/>
      <c r="WJL19" s="1050"/>
      <c r="WJM19" s="1050"/>
      <c r="WJN19" s="1050"/>
      <c r="WJO19" s="1050"/>
      <c r="WJP19" s="1050"/>
      <c r="WJQ19" s="1050"/>
      <c r="WJR19" s="1050"/>
      <c r="WJS19" s="1050"/>
      <c r="WJT19" s="1050"/>
      <c r="WJU19" s="1050"/>
      <c r="WJV19" s="1050"/>
      <c r="WJW19" s="1050"/>
      <c r="WJX19" s="1050"/>
      <c r="WJY19" s="1050"/>
      <c r="WJZ19" s="1050"/>
      <c r="WKA19" s="1050"/>
      <c r="WKB19" s="1050"/>
      <c r="WKC19" s="1050"/>
      <c r="WKD19" s="1050"/>
      <c r="WKE19" s="1050"/>
      <c r="WKF19" s="1050"/>
      <c r="WKG19" s="1050"/>
      <c r="WKH19" s="1050"/>
      <c r="WKI19" s="1050"/>
      <c r="WKJ19" s="1050"/>
      <c r="WKK19" s="1050"/>
      <c r="WKL19" s="1050"/>
      <c r="WKM19" s="1050"/>
      <c r="WKN19" s="1050"/>
      <c r="WKO19" s="1050"/>
      <c r="WKP19" s="1050"/>
      <c r="WKQ19" s="1050"/>
      <c r="WKR19" s="1050"/>
      <c r="WKS19" s="1050"/>
      <c r="WKT19" s="1050"/>
      <c r="WKU19" s="1050"/>
      <c r="WKV19" s="1050"/>
      <c r="WKW19" s="1050"/>
      <c r="WKX19" s="1050"/>
      <c r="WKY19" s="1050"/>
      <c r="WKZ19" s="1050"/>
      <c r="WLA19" s="1050"/>
      <c r="WLB19" s="1050"/>
      <c r="WLC19" s="1050"/>
      <c r="WLD19" s="1050"/>
      <c r="WLE19" s="1050"/>
      <c r="WLF19" s="1050"/>
      <c r="WLG19" s="1050"/>
      <c r="WLH19" s="1050"/>
      <c r="WLI19" s="1050"/>
      <c r="WLJ19" s="1050"/>
      <c r="WLK19" s="1050"/>
      <c r="WLL19" s="1050"/>
      <c r="WLM19" s="1050"/>
      <c r="WLN19" s="1050"/>
      <c r="WLO19" s="1050"/>
      <c r="WLP19" s="1050"/>
      <c r="WLQ19" s="1050"/>
      <c r="WLR19" s="1050"/>
      <c r="WLS19" s="1050"/>
      <c r="WLT19" s="1050"/>
      <c r="WLU19" s="1050"/>
      <c r="WLV19" s="1050"/>
      <c r="WLW19" s="1050"/>
      <c r="WLX19" s="1050"/>
      <c r="WLY19" s="1050"/>
      <c r="WLZ19" s="1050"/>
      <c r="WMA19" s="1050"/>
      <c r="WMB19" s="1050"/>
      <c r="WMC19" s="1050"/>
      <c r="WMD19" s="1050"/>
      <c r="WME19" s="1050"/>
      <c r="WMF19" s="1050"/>
      <c r="WMG19" s="1050"/>
      <c r="WMH19" s="1050"/>
      <c r="WMI19" s="1050"/>
      <c r="WMJ19" s="1050"/>
      <c r="WMK19" s="1050"/>
      <c r="WML19" s="1050"/>
      <c r="WMM19" s="1050"/>
      <c r="WMN19" s="1050"/>
      <c r="WMO19" s="1050"/>
      <c r="WMP19" s="1050"/>
      <c r="WMQ19" s="1050"/>
      <c r="WMR19" s="1050"/>
      <c r="WMS19" s="1050"/>
      <c r="WMT19" s="1050"/>
      <c r="WMU19" s="1050"/>
      <c r="WMV19" s="1050"/>
      <c r="WMW19" s="1050"/>
      <c r="WMX19" s="1050"/>
      <c r="WMY19" s="1050"/>
      <c r="WMZ19" s="1050"/>
      <c r="WNA19" s="1050"/>
      <c r="WNB19" s="1050"/>
      <c r="WNC19" s="1050"/>
      <c r="WND19" s="1050"/>
      <c r="WNE19" s="1050"/>
      <c r="WNF19" s="1050"/>
      <c r="WNG19" s="1050"/>
      <c r="WNH19" s="1050"/>
      <c r="WNI19" s="1050"/>
      <c r="WNJ19" s="1050"/>
      <c r="WNK19" s="1050"/>
      <c r="WNL19" s="1050"/>
      <c r="WNM19" s="1050"/>
      <c r="WNN19" s="1050"/>
      <c r="WNO19" s="1050"/>
      <c r="WNP19" s="1050"/>
      <c r="WNQ19" s="1050"/>
      <c r="WNR19" s="1050"/>
      <c r="WNS19" s="1050"/>
      <c r="WNT19" s="1050"/>
      <c r="WNU19" s="1050"/>
      <c r="WNV19" s="1050"/>
      <c r="WNW19" s="1050"/>
      <c r="WNX19" s="1050"/>
      <c r="WNY19" s="1050"/>
      <c r="WNZ19" s="1050"/>
      <c r="WOA19" s="1050"/>
      <c r="WOB19" s="1050"/>
      <c r="WOC19" s="1050"/>
      <c r="WOD19" s="1050"/>
      <c r="WOE19" s="1050"/>
      <c r="WOF19" s="1050"/>
      <c r="WOG19" s="1050"/>
      <c r="WOH19" s="1050"/>
      <c r="WOI19" s="1050"/>
      <c r="WOJ19" s="1050"/>
      <c r="WOK19" s="1050"/>
      <c r="WOL19" s="1050"/>
      <c r="WOM19" s="1050"/>
      <c r="WON19" s="1050"/>
      <c r="WOO19" s="1050"/>
      <c r="WOP19" s="1050"/>
      <c r="WOQ19" s="1050"/>
      <c r="WOR19" s="1050"/>
      <c r="WOS19" s="1050"/>
      <c r="WOT19" s="1050"/>
      <c r="WOU19" s="1050"/>
      <c r="WOV19" s="1050"/>
      <c r="WOW19" s="1050"/>
      <c r="WOX19" s="1050"/>
      <c r="WOY19" s="1050"/>
      <c r="WOZ19" s="1050"/>
      <c r="WPA19" s="1050"/>
      <c r="WPB19" s="1050"/>
      <c r="WPC19" s="1050"/>
      <c r="WPD19" s="1050"/>
      <c r="WPE19" s="1050"/>
      <c r="WPF19" s="1050"/>
      <c r="WPG19" s="1050"/>
      <c r="WPH19" s="1050"/>
      <c r="WPI19" s="1050"/>
      <c r="WPJ19" s="1050"/>
      <c r="WPK19" s="1050"/>
      <c r="WPL19" s="1050"/>
      <c r="WPM19" s="1050"/>
      <c r="WPN19" s="1050"/>
      <c r="WPO19" s="1050"/>
      <c r="WPP19" s="1050"/>
      <c r="WPQ19" s="1050"/>
      <c r="WPR19" s="1050"/>
      <c r="WPS19" s="1050"/>
      <c r="WPT19" s="1050"/>
      <c r="WPU19" s="1050"/>
      <c r="WPV19" s="1050"/>
      <c r="WPW19" s="1050"/>
      <c r="WPX19" s="1050"/>
      <c r="WPY19" s="1050"/>
      <c r="WPZ19" s="1050"/>
      <c r="WQA19" s="1050"/>
      <c r="WQB19" s="1050"/>
      <c r="WQC19" s="1050"/>
      <c r="WQD19" s="1050"/>
      <c r="WQE19" s="1050"/>
      <c r="WQF19" s="1050"/>
      <c r="WQG19" s="1050"/>
      <c r="WQH19" s="1050"/>
      <c r="WQI19" s="1050"/>
      <c r="WQJ19" s="1050"/>
      <c r="WQK19" s="1050"/>
      <c r="WQL19" s="1050"/>
      <c r="WQM19" s="1050"/>
      <c r="WQN19" s="1050"/>
      <c r="WQO19" s="1050"/>
      <c r="WQP19" s="1050"/>
      <c r="WQQ19" s="1050"/>
      <c r="WQR19" s="1050"/>
      <c r="WQS19" s="1050"/>
      <c r="WQT19" s="1050"/>
      <c r="WQU19" s="1050"/>
      <c r="WQV19" s="1050"/>
      <c r="WQW19" s="1050"/>
      <c r="WQX19" s="1050"/>
      <c r="WQY19" s="1050"/>
      <c r="WQZ19" s="1050"/>
      <c r="WRA19" s="1050"/>
      <c r="WRB19" s="1050"/>
      <c r="WRC19" s="1050"/>
      <c r="WRD19" s="1050"/>
      <c r="WRE19" s="1050"/>
      <c r="WRF19" s="1050"/>
      <c r="WRG19" s="1050"/>
      <c r="WRH19" s="1050"/>
      <c r="WRI19" s="1050"/>
      <c r="WRJ19" s="1050"/>
      <c r="WRK19" s="1050"/>
      <c r="WRL19" s="1050"/>
      <c r="WRM19" s="1050"/>
      <c r="WRN19" s="1050"/>
      <c r="WRO19" s="1050"/>
      <c r="WRP19" s="1050"/>
      <c r="WRQ19" s="1050"/>
      <c r="WRR19" s="1050"/>
      <c r="WRS19" s="1050"/>
      <c r="WRT19" s="1050"/>
      <c r="WRU19" s="1050"/>
      <c r="WRV19" s="1050"/>
      <c r="WRW19" s="1050"/>
      <c r="WRX19" s="1050"/>
      <c r="WRY19" s="1050"/>
      <c r="WRZ19" s="1050"/>
      <c r="WSA19" s="1050"/>
      <c r="WSB19" s="1050"/>
      <c r="WSC19" s="1050"/>
      <c r="WSD19" s="1050"/>
      <c r="WSE19" s="1050"/>
      <c r="WSF19" s="1050"/>
      <c r="WSG19" s="1050"/>
      <c r="WSH19" s="1050"/>
      <c r="WSI19" s="1050"/>
      <c r="WSJ19" s="1050"/>
      <c r="WSK19" s="1050"/>
      <c r="WSL19" s="1050"/>
      <c r="WSM19" s="1050"/>
      <c r="WSN19" s="1050"/>
      <c r="WSO19" s="1050"/>
      <c r="WSP19" s="1050"/>
      <c r="WSQ19" s="1050"/>
      <c r="WSR19" s="1050"/>
      <c r="WSS19" s="1050"/>
      <c r="WST19" s="1050"/>
      <c r="WSU19" s="1050"/>
      <c r="WSV19" s="1050"/>
      <c r="WSW19" s="1050"/>
      <c r="WSX19" s="1050"/>
      <c r="WSY19" s="1050"/>
      <c r="WSZ19" s="1050"/>
      <c r="WTA19" s="1050"/>
      <c r="WTB19" s="1050"/>
      <c r="WTC19" s="1050"/>
      <c r="WTD19" s="1050"/>
      <c r="WTE19" s="1050"/>
      <c r="WTF19" s="1050"/>
      <c r="WTG19" s="1050"/>
      <c r="WTH19" s="1050"/>
      <c r="WTI19" s="1050"/>
      <c r="WTJ19" s="1050"/>
      <c r="WTK19" s="1050"/>
      <c r="WTL19" s="1050"/>
      <c r="WTM19" s="1050"/>
      <c r="WTN19" s="1050"/>
      <c r="WTO19" s="1050"/>
      <c r="WTP19" s="1050"/>
      <c r="WTQ19" s="1050"/>
      <c r="WTR19" s="1050"/>
      <c r="WTS19" s="1050"/>
      <c r="WTT19" s="1050"/>
      <c r="WTU19" s="1050"/>
      <c r="WTV19" s="1050"/>
      <c r="WTW19" s="1050"/>
      <c r="WTX19" s="1050"/>
      <c r="WTY19" s="1050"/>
      <c r="WTZ19" s="1050"/>
      <c r="WUA19" s="1050"/>
      <c r="WUB19" s="1050"/>
      <c r="WUC19" s="1050"/>
      <c r="WUD19" s="1050"/>
      <c r="WUE19" s="1050"/>
      <c r="WUF19" s="1050"/>
      <c r="WUG19" s="1050"/>
      <c r="WUH19" s="1050"/>
      <c r="WUI19" s="1050"/>
      <c r="WUJ19" s="1050"/>
      <c r="WUK19" s="1050"/>
      <c r="WUL19" s="1050"/>
      <c r="WUM19" s="1050"/>
      <c r="WUN19" s="1050"/>
      <c r="WUO19" s="1050"/>
      <c r="WUP19" s="1050"/>
      <c r="WUQ19" s="1050"/>
      <c r="WUR19" s="1050"/>
      <c r="WUS19" s="1050"/>
      <c r="WUT19" s="1050"/>
      <c r="WUU19" s="1050"/>
      <c r="WUV19" s="1050"/>
      <c r="WUW19" s="1050"/>
      <c r="WUX19" s="1050"/>
      <c r="WUY19" s="1050"/>
      <c r="WUZ19" s="1050"/>
      <c r="WVA19" s="1050"/>
      <c r="WVB19" s="1050"/>
      <c r="WVC19" s="1050"/>
      <c r="WVD19" s="1050"/>
      <c r="WVE19" s="1050"/>
      <c r="WVF19" s="1050"/>
      <c r="WVG19" s="1050"/>
      <c r="WVH19" s="1050"/>
      <c r="WVI19" s="1050"/>
      <c r="WVJ19" s="1050"/>
      <c r="WVK19" s="1050"/>
      <c r="WVL19" s="1050"/>
      <c r="WVM19" s="1050"/>
      <c r="WVN19" s="1050"/>
      <c r="WVO19" s="1050"/>
    </row>
    <row r="20" spans="1:16135" s="1045" customFormat="1" x14ac:dyDescent="0.25">
      <c r="A20" s="1172"/>
      <c r="B20" s="1050"/>
      <c r="C20" s="1050"/>
      <c r="D20" s="1050"/>
      <c r="E20" s="1050"/>
    </row>
    <row r="21" spans="1:16135" s="1045" customFormat="1" x14ac:dyDescent="0.25">
      <c r="A21" s="1050"/>
      <c r="B21" s="1050"/>
      <c r="C21" s="1050"/>
      <c r="D21" s="1050"/>
      <c r="E21" s="1050"/>
      <c r="G21" s="1171"/>
    </row>
    <row r="81" spans="9:9" x14ac:dyDescent="0.25">
      <c r="I81" s="1173"/>
    </row>
  </sheetData>
  <pageMargins left="0.51181102362204722" right="0.51181102362204722" top="0.74803149606299213" bottom="0.74803149606299213" header="0.31496062992125984" footer="0.31496062992125984"/>
  <pageSetup paperSize="9" firstPageNumber="73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17F3E7-4FDC-4659-8171-DC771164CC46}">
  <dimension ref="A1:J852"/>
  <sheetViews>
    <sheetView zoomScale="150" zoomScaleNormal="150" workbookViewId="0">
      <pane xSplit="2" ySplit="13" topLeftCell="C841" activePane="bottomRight" state="frozen"/>
      <selection pane="topRight" activeCell="C1" sqref="C1"/>
      <selection pane="bottomLeft" activeCell="A12" sqref="A12"/>
      <selection pane="bottomRight" activeCell="A8" sqref="A8:J852"/>
    </sheetView>
  </sheetViews>
  <sheetFormatPr defaultRowHeight="11.25" customHeight="1" x14ac:dyDescent="0.2"/>
  <cols>
    <col min="1" max="1" width="5" style="33" customWidth="1"/>
    <col min="2" max="2" width="44.42578125" style="33" customWidth="1"/>
    <col min="3" max="3" width="12.5703125" style="33" customWidth="1"/>
    <col min="4" max="4" width="13.140625" style="33" customWidth="1"/>
    <col min="5" max="5" width="10.28515625" style="33" customWidth="1"/>
    <col min="6" max="6" width="11.7109375" style="33" customWidth="1"/>
    <col min="7" max="7" width="11.42578125" style="33" customWidth="1"/>
    <col min="8" max="8" width="11.7109375" style="33" customWidth="1"/>
    <col min="9" max="9" width="11.5703125" style="33" customWidth="1"/>
    <col min="10" max="10" width="13.140625" style="33" customWidth="1"/>
    <col min="11" max="256" width="9.140625" style="33"/>
    <col min="257" max="257" width="5" style="33" customWidth="1"/>
    <col min="258" max="258" width="44.42578125" style="33" customWidth="1"/>
    <col min="259" max="259" width="12.5703125" style="33" customWidth="1"/>
    <col min="260" max="260" width="13.140625" style="33" customWidth="1"/>
    <col min="261" max="261" width="10.28515625" style="33" customWidth="1"/>
    <col min="262" max="262" width="11.7109375" style="33" customWidth="1"/>
    <col min="263" max="263" width="11.42578125" style="33" customWidth="1"/>
    <col min="264" max="264" width="11.7109375" style="33" customWidth="1"/>
    <col min="265" max="265" width="11.5703125" style="33" customWidth="1"/>
    <col min="266" max="266" width="13.140625" style="33" customWidth="1"/>
    <col min="267" max="512" width="9.140625" style="33"/>
    <col min="513" max="513" width="5" style="33" customWidth="1"/>
    <col min="514" max="514" width="44.42578125" style="33" customWidth="1"/>
    <col min="515" max="515" width="12.5703125" style="33" customWidth="1"/>
    <col min="516" max="516" width="13.140625" style="33" customWidth="1"/>
    <col min="517" max="517" width="10.28515625" style="33" customWidth="1"/>
    <col min="518" max="518" width="11.7109375" style="33" customWidth="1"/>
    <col min="519" max="519" width="11.42578125" style="33" customWidth="1"/>
    <col min="520" max="520" width="11.7109375" style="33" customWidth="1"/>
    <col min="521" max="521" width="11.5703125" style="33" customWidth="1"/>
    <col min="522" max="522" width="13.140625" style="33" customWidth="1"/>
    <col min="523" max="768" width="9.140625" style="33"/>
    <col min="769" max="769" width="5" style="33" customWidth="1"/>
    <col min="770" max="770" width="44.42578125" style="33" customWidth="1"/>
    <col min="771" max="771" width="12.5703125" style="33" customWidth="1"/>
    <col min="772" max="772" width="13.140625" style="33" customWidth="1"/>
    <col min="773" max="773" width="10.28515625" style="33" customWidth="1"/>
    <col min="774" max="774" width="11.7109375" style="33" customWidth="1"/>
    <col min="775" max="775" width="11.42578125" style="33" customWidth="1"/>
    <col min="776" max="776" width="11.7109375" style="33" customWidth="1"/>
    <col min="777" max="777" width="11.5703125" style="33" customWidth="1"/>
    <col min="778" max="778" width="13.140625" style="33" customWidth="1"/>
    <col min="779" max="1024" width="9.140625" style="33"/>
    <col min="1025" max="1025" width="5" style="33" customWidth="1"/>
    <col min="1026" max="1026" width="44.42578125" style="33" customWidth="1"/>
    <col min="1027" max="1027" width="12.5703125" style="33" customWidth="1"/>
    <col min="1028" max="1028" width="13.140625" style="33" customWidth="1"/>
    <col min="1029" max="1029" width="10.28515625" style="33" customWidth="1"/>
    <col min="1030" max="1030" width="11.7109375" style="33" customWidth="1"/>
    <col min="1031" max="1031" width="11.42578125" style="33" customWidth="1"/>
    <col min="1032" max="1032" width="11.7109375" style="33" customWidth="1"/>
    <col min="1033" max="1033" width="11.5703125" style="33" customWidth="1"/>
    <col min="1034" max="1034" width="13.140625" style="33" customWidth="1"/>
    <col min="1035" max="1280" width="9.140625" style="33"/>
    <col min="1281" max="1281" width="5" style="33" customWidth="1"/>
    <col min="1282" max="1282" width="44.42578125" style="33" customWidth="1"/>
    <col min="1283" max="1283" width="12.5703125" style="33" customWidth="1"/>
    <col min="1284" max="1284" width="13.140625" style="33" customWidth="1"/>
    <col min="1285" max="1285" width="10.28515625" style="33" customWidth="1"/>
    <col min="1286" max="1286" width="11.7109375" style="33" customWidth="1"/>
    <col min="1287" max="1287" width="11.42578125" style="33" customWidth="1"/>
    <col min="1288" max="1288" width="11.7109375" style="33" customWidth="1"/>
    <col min="1289" max="1289" width="11.5703125" style="33" customWidth="1"/>
    <col min="1290" max="1290" width="13.140625" style="33" customWidth="1"/>
    <col min="1291" max="1536" width="9.140625" style="33"/>
    <col min="1537" max="1537" width="5" style="33" customWidth="1"/>
    <col min="1538" max="1538" width="44.42578125" style="33" customWidth="1"/>
    <col min="1539" max="1539" width="12.5703125" style="33" customWidth="1"/>
    <col min="1540" max="1540" width="13.140625" style="33" customWidth="1"/>
    <col min="1541" max="1541" width="10.28515625" style="33" customWidth="1"/>
    <col min="1542" max="1542" width="11.7109375" style="33" customWidth="1"/>
    <col min="1543" max="1543" width="11.42578125" style="33" customWidth="1"/>
    <col min="1544" max="1544" width="11.7109375" style="33" customWidth="1"/>
    <col min="1545" max="1545" width="11.5703125" style="33" customWidth="1"/>
    <col min="1546" max="1546" width="13.140625" style="33" customWidth="1"/>
    <col min="1547" max="1792" width="9.140625" style="33"/>
    <col min="1793" max="1793" width="5" style="33" customWidth="1"/>
    <col min="1794" max="1794" width="44.42578125" style="33" customWidth="1"/>
    <col min="1795" max="1795" width="12.5703125" style="33" customWidth="1"/>
    <col min="1796" max="1796" width="13.140625" style="33" customWidth="1"/>
    <col min="1797" max="1797" width="10.28515625" style="33" customWidth="1"/>
    <col min="1798" max="1798" width="11.7109375" style="33" customWidth="1"/>
    <col min="1799" max="1799" width="11.42578125" style="33" customWidth="1"/>
    <col min="1800" max="1800" width="11.7109375" style="33" customWidth="1"/>
    <col min="1801" max="1801" width="11.5703125" style="33" customWidth="1"/>
    <col min="1802" max="1802" width="13.140625" style="33" customWidth="1"/>
    <col min="1803" max="2048" width="9.140625" style="33"/>
    <col min="2049" max="2049" width="5" style="33" customWidth="1"/>
    <col min="2050" max="2050" width="44.42578125" style="33" customWidth="1"/>
    <col min="2051" max="2051" width="12.5703125" style="33" customWidth="1"/>
    <col min="2052" max="2052" width="13.140625" style="33" customWidth="1"/>
    <col min="2053" max="2053" width="10.28515625" style="33" customWidth="1"/>
    <col min="2054" max="2054" width="11.7109375" style="33" customWidth="1"/>
    <col min="2055" max="2055" width="11.42578125" style="33" customWidth="1"/>
    <col min="2056" max="2056" width="11.7109375" style="33" customWidth="1"/>
    <col min="2057" max="2057" width="11.5703125" style="33" customWidth="1"/>
    <col min="2058" max="2058" width="13.140625" style="33" customWidth="1"/>
    <col min="2059" max="2304" width="9.140625" style="33"/>
    <col min="2305" max="2305" width="5" style="33" customWidth="1"/>
    <col min="2306" max="2306" width="44.42578125" style="33" customWidth="1"/>
    <col min="2307" max="2307" width="12.5703125" style="33" customWidth="1"/>
    <col min="2308" max="2308" width="13.140625" style="33" customWidth="1"/>
    <col min="2309" max="2309" width="10.28515625" style="33" customWidth="1"/>
    <col min="2310" max="2310" width="11.7109375" style="33" customWidth="1"/>
    <col min="2311" max="2311" width="11.42578125" style="33" customWidth="1"/>
    <col min="2312" max="2312" width="11.7109375" style="33" customWidth="1"/>
    <col min="2313" max="2313" width="11.5703125" style="33" customWidth="1"/>
    <col min="2314" max="2314" width="13.140625" style="33" customWidth="1"/>
    <col min="2315" max="2560" width="9.140625" style="33"/>
    <col min="2561" max="2561" width="5" style="33" customWidth="1"/>
    <col min="2562" max="2562" width="44.42578125" style="33" customWidth="1"/>
    <col min="2563" max="2563" width="12.5703125" style="33" customWidth="1"/>
    <col min="2564" max="2564" width="13.140625" style="33" customWidth="1"/>
    <col min="2565" max="2565" width="10.28515625" style="33" customWidth="1"/>
    <col min="2566" max="2566" width="11.7109375" style="33" customWidth="1"/>
    <col min="2567" max="2567" width="11.42578125" style="33" customWidth="1"/>
    <col min="2568" max="2568" width="11.7109375" style="33" customWidth="1"/>
    <col min="2569" max="2569" width="11.5703125" style="33" customWidth="1"/>
    <col min="2570" max="2570" width="13.140625" style="33" customWidth="1"/>
    <col min="2571" max="2816" width="9.140625" style="33"/>
    <col min="2817" max="2817" width="5" style="33" customWidth="1"/>
    <col min="2818" max="2818" width="44.42578125" style="33" customWidth="1"/>
    <col min="2819" max="2819" width="12.5703125" style="33" customWidth="1"/>
    <col min="2820" max="2820" width="13.140625" style="33" customWidth="1"/>
    <col min="2821" max="2821" width="10.28515625" style="33" customWidth="1"/>
    <col min="2822" max="2822" width="11.7109375" style="33" customWidth="1"/>
    <col min="2823" max="2823" width="11.42578125" style="33" customWidth="1"/>
    <col min="2824" max="2824" width="11.7109375" style="33" customWidth="1"/>
    <col min="2825" max="2825" width="11.5703125" style="33" customWidth="1"/>
    <col min="2826" max="2826" width="13.140625" style="33" customWidth="1"/>
    <col min="2827" max="3072" width="9.140625" style="33"/>
    <col min="3073" max="3073" width="5" style="33" customWidth="1"/>
    <col min="3074" max="3074" width="44.42578125" style="33" customWidth="1"/>
    <col min="3075" max="3075" width="12.5703125" style="33" customWidth="1"/>
    <col min="3076" max="3076" width="13.140625" style="33" customWidth="1"/>
    <col min="3077" max="3077" width="10.28515625" style="33" customWidth="1"/>
    <col min="3078" max="3078" width="11.7109375" style="33" customWidth="1"/>
    <col min="3079" max="3079" width="11.42578125" style="33" customWidth="1"/>
    <col min="3080" max="3080" width="11.7109375" style="33" customWidth="1"/>
    <col min="3081" max="3081" width="11.5703125" style="33" customWidth="1"/>
    <col min="3082" max="3082" width="13.140625" style="33" customWidth="1"/>
    <col min="3083" max="3328" width="9.140625" style="33"/>
    <col min="3329" max="3329" width="5" style="33" customWidth="1"/>
    <col min="3330" max="3330" width="44.42578125" style="33" customWidth="1"/>
    <col min="3331" max="3331" width="12.5703125" style="33" customWidth="1"/>
    <col min="3332" max="3332" width="13.140625" style="33" customWidth="1"/>
    <col min="3333" max="3333" width="10.28515625" style="33" customWidth="1"/>
    <col min="3334" max="3334" width="11.7109375" style="33" customWidth="1"/>
    <col min="3335" max="3335" width="11.42578125" style="33" customWidth="1"/>
    <col min="3336" max="3336" width="11.7109375" style="33" customWidth="1"/>
    <col min="3337" max="3337" width="11.5703125" style="33" customWidth="1"/>
    <col min="3338" max="3338" width="13.140625" style="33" customWidth="1"/>
    <col min="3339" max="3584" width="9.140625" style="33"/>
    <col min="3585" max="3585" width="5" style="33" customWidth="1"/>
    <col min="3586" max="3586" width="44.42578125" style="33" customWidth="1"/>
    <col min="3587" max="3587" width="12.5703125" style="33" customWidth="1"/>
    <col min="3588" max="3588" width="13.140625" style="33" customWidth="1"/>
    <col min="3589" max="3589" width="10.28515625" style="33" customWidth="1"/>
    <col min="3590" max="3590" width="11.7109375" style="33" customWidth="1"/>
    <col min="3591" max="3591" width="11.42578125" style="33" customWidth="1"/>
    <col min="3592" max="3592" width="11.7109375" style="33" customWidth="1"/>
    <col min="3593" max="3593" width="11.5703125" style="33" customWidth="1"/>
    <col min="3594" max="3594" width="13.140625" style="33" customWidth="1"/>
    <col min="3595" max="3840" width="9.140625" style="33"/>
    <col min="3841" max="3841" width="5" style="33" customWidth="1"/>
    <col min="3842" max="3842" width="44.42578125" style="33" customWidth="1"/>
    <col min="3843" max="3843" width="12.5703125" style="33" customWidth="1"/>
    <col min="3844" max="3844" width="13.140625" style="33" customWidth="1"/>
    <col min="3845" max="3845" width="10.28515625" style="33" customWidth="1"/>
    <col min="3846" max="3846" width="11.7109375" style="33" customWidth="1"/>
    <col min="3847" max="3847" width="11.42578125" style="33" customWidth="1"/>
    <col min="3848" max="3848" width="11.7109375" style="33" customWidth="1"/>
    <col min="3849" max="3849" width="11.5703125" style="33" customWidth="1"/>
    <col min="3850" max="3850" width="13.140625" style="33" customWidth="1"/>
    <col min="3851" max="4096" width="9.140625" style="33"/>
    <col min="4097" max="4097" width="5" style="33" customWidth="1"/>
    <col min="4098" max="4098" width="44.42578125" style="33" customWidth="1"/>
    <col min="4099" max="4099" width="12.5703125" style="33" customWidth="1"/>
    <col min="4100" max="4100" width="13.140625" style="33" customWidth="1"/>
    <col min="4101" max="4101" width="10.28515625" style="33" customWidth="1"/>
    <col min="4102" max="4102" width="11.7109375" style="33" customWidth="1"/>
    <col min="4103" max="4103" width="11.42578125" style="33" customWidth="1"/>
    <col min="4104" max="4104" width="11.7109375" style="33" customWidth="1"/>
    <col min="4105" max="4105" width="11.5703125" style="33" customWidth="1"/>
    <col min="4106" max="4106" width="13.140625" style="33" customWidth="1"/>
    <col min="4107" max="4352" width="9.140625" style="33"/>
    <col min="4353" max="4353" width="5" style="33" customWidth="1"/>
    <col min="4354" max="4354" width="44.42578125" style="33" customWidth="1"/>
    <col min="4355" max="4355" width="12.5703125" style="33" customWidth="1"/>
    <col min="4356" max="4356" width="13.140625" style="33" customWidth="1"/>
    <col min="4357" max="4357" width="10.28515625" style="33" customWidth="1"/>
    <col min="4358" max="4358" width="11.7109375" style="33" customWidth="1"/>
    <col min="4359" max="4359" width="11.42578125" style="33" customWidth="1"/>
    <col min="4360" max="4360" width="11.7109375" style="33" customWidth="1"/>
    <col min="4361" max="4361" width="11.5703125" style="33" customWidth="1"/>
    <col min="4362" max="4362" width="13.140625" style="33" customWidth="1"/>
    <col min="4363" max="4608" width="9.140625" style="33"/>
    <col min="4609" max="4609" width="5" style="33" customWidth="1"/>
    <col min="4610" max="4610" width="44.42578125" style="33" customWidth="1"/>
    <col min="4611" max="4611" width="12.5703125" style="33" customWidth="1"/>
    <col min="4612" max="4612" width="13.140625" style="33" customWidth="1"/>
    <col min="4613" max="4613" width="10.28515625" style="33" customWidth="1"/>
    <col min="4614" max="4614" width="11.7109375" style="33" customWidth="1"/>
    <col min="4615" max="4615" width="11.42578125" style="33" customWidth="1"/>
    <col min="4616" max="4616" width="11.7109375" style="33" customWidth="1"/>
    <col min="4617" max="4617" width="11.5703125" style="33" customWidth="1"/>
    <col min="4618" max="4618" width="13.140625" style="33" customWidth="1"/>
    <col min="4619" max="4864" width="9.140625" style="33"/>
    <col min="4865" max="4865" width="5" style="33" customWidth="1"/>
    <col min="4866" max="4866" width="44.42578125" style="33" customWidth="1"/>
    <col min="4867" max="4867" width="12.5703125" style="33" customWidth="1"/>
    <col min="4868" max="4868" width="13.140625" style="33" customWidth="1"/>
    <col min="4869" max="4869" width="10.28515625" style="33" customWidth="1"/>
    <col min="4870" max="4870" width="11.7109375" style="33" customWidth="1"/>
    <col min="4871" max="4871" width="11.42578125" style="33" customWidth="1"/>
    <col min="4872" max="4872" width="11.7109375" style="33" customWidth="1"/>
    <col min="4873" max="4873" width="11.5703125" style="33" customWidth="1"/>
    <col min="4874" max="4874" width="13.140625" style="33" customWidth="1"/>
    <col min="4875" max="5120" width="9.140625" style="33"/>
    <col min="5121" max="5121" width="5" style="33" customWidth="1"/>
    <col min="5122" max="5122" width="44.42578125" style="33" customWidth="1"/>
    <col min="5123" max="5123" width="12.5703125" style="33" customWidth="1"/>
    <col min="5124" max="5124" width="13.140625" style="33" customWidth="1"/>
    <col min="5125" max="5125" width="10.28515625" style="33" customWidth="1"/>
    <col min="5126" max="5126" width="11.7109375" style="33" customWidth="1"/>
    <col min="5127" max="5127" width="11.42578125" style="33" customWidth="1"/>
    <col min="5128" max="5128" width="11.7109375" style="33" customWidth="1"/>
    <col min="5129" max="5129" width="11.5703125" style="33" customWidth="1"/>
    <col min="5130" max="5130" width="13.140625" style="33" customWidth="1"/>
    <col min="5131" max="5376" width="9.140625" style="33"/>
    <col min="5377" max="5377" width="5" style="33" customWidth="1"/>
    <col min="5378" max="5378" width="44.42578125" style="33" customWidth="1"/>
    <col min="5379" max="5379" width="12.5703125" style="33" customWidth="1"/>
    <col min="5380" max="5380" width="13.140625" style="33" customWidth="1"/>
    <col min="5381" max="5381" width="10.28515625" style="33" customWidth="1"/>
    <col min="5382" max="5382" width="11.7109375" style="33" customWidth="1"/>
    <col min="5383" max="5383" width="11.42578125" style="33" customWidth="1"/>
    <col min="5384" max="5384" width="11.7109375" style="33" customWidth="1"/>
    <col min="5385" max="5385" width="11.5703125" style="33" customWidth="1"/>
    <col min="5386" max="5386" width="13.140625" style="33" customWidth="1"/>
    <col min="5387" max="5632" width="9.140625" style="33"/>
    <col min="5633" max="5633" width="5" style="33" customWidth="1"/>
    <col min="5634" max="5634" width="44.42578125" style="33" customWidth="1"/>
    <col min="5635" max="5635" width="12.5703125" style="33" customWidth="1"/>
    <col min="5636" max="5636" width="13.140625" style="33" customWidth="1"/>
    <col min="5637" max="5637" width="10.28515625" style="33" customWidth="1"/>
    <col min="5638" max="5638" width="11.7109375" style="33" customWidth="1"/>
    <col min="5639" max="5639" width="11.42578125" style="33" customWidth="1"/>
    <col min="5640" max="5640" width="11.7109375" style="33" customWidth="1"/>
    <col min="5641" max="5641" width="11.5703125" style="33" customWidth="1"/>
    <col min="5642" max="5642" width="13.140625" style="33" customWidth="1"/>
    <col min="5643" max="5888" width="9.140625" style="33"/>
    <col min="5889" max="5889" width="5" style="33" customWidth="1"/>
    <col min="5890" max="5890" width="44.42578125" style="33" customWidth="1"/>
    <col min="5891" max="5891" width="12.5703125" style="33" customWidth="1"/>
    <col min="5892" max="5892" width="13.140625" style="33" customWidth="1"/>
    <col min="5893" max="5893" width="10.28515625" style="33" customWidth="1"/>
    <col min="5894" max="5894" width="11.7109375" style="33" customWidth="1"/>
    <col min="5895" max="5895" width="11.42578125" style="33" customWidth="1"/>
    <col min="5896" max="5896" width="11.7109375" style="33" customWidth="1"/>
    <col min="5897" max="5897" width="11.5703125" style="33" customWidth="1"/>
    <col min="5898" max="5898" width="13.140625" style="33" customWidth="1"/>
    <col min="5899" max="6144" width="9.140625" style="33"/>
    <col min="6145" max="6145" width="5" style="33" customWidth="1"/>
    <col min="6146" max="6146" width="44.42578125" style="33" customWidth="1"/>
    <col min="6147" max="6147" width="12.5703125" style="33" customWidth="1"/>
    <col min="6148" max="6148" width="13.140625" style="33" customWidth="1"/>
    <col min="6149" max="6149" width="10.28515625" style="33" customWidth="1"/>
    <col min="6150" max="6150" width="11.7109375" style="33" customWidth="1"/>
    <col min="6151" max="6151" width="11.42578125" style="33" customWidth="1"/>
    <col min="6152" max="6152" width="11.7109375" style="33" customWidth="1"/>
    <col min="6153" max="6153" width="11.5703125" style="33" customWidth="1"/>
    <col min="6154" max="6154" width="13.140625" style="33" customWidth="1"/>
    <col min="6155" max="6400" width="9.140625" style="33"/>
    <col min="6401" max="6401" width="5" style="33" customWidth="1"/>
    <col min="6402" max="6402" width="44.42578125" style="33" customWidth="1"/>
    <col min="6403" max="6403" width="12.5703125" style="33" customWidth="1"/>
    <col min="6404" max="6404" width="13.140625" style="33" customWidth="1"/>
    <col min="6405" max="6405" width="10.28515625" style="33" customWidth="1"/>
    <col min="6406" max="6406" width="11.7109375" style="33" customWidth="1"/>
    <col min="6407" max="6407" width="11.42578125" style="33" customWidth="1"/>
    <col min="6408" max="6408" width="11.7109375" style="33" customWidth="1"/>
    <col min="6409" max="6409" width="11.5703125" style="33" customWidth="1"/>
    <col min="6410" max="6410" width="13.140625" style="33" customWidth="1"/>
    <col min="6411" max="6656" width="9.140625" style="33"/>
    <col min="6657" max="6657" width="5" style="33" customWidth="1"/>
    <col min="6658" max="6658" width="44.42578125" style="33" customWidth="1"/>
    <col min="6659" max="6659" width="12.5703125" style="33" customWidth="1"/>
    <col min="6660" max="6660" width="13.140625" style="33" customWidth="1"/>
    <col min="6661" max="6661" width="10.28515625" style="33" customWidth="1"/>
    <col min="6662" max="6662" width="11.7109375" style="33" customWidth="1"/>
    <col min="6663" max="6663" width="11.42578125" style="33" customWidth="1"/>
    <col min="6664" max="6664" width="11.7109375" style="33" customWidth="1"/>
    <col min="6665" max="6665" width="11.5703125" style="33" customWidth="1"/>
    <col min="6666" max="6666" width="13.140625" style="33" customWidth="1"/>
    <col min="6667" max="6912" width="9.140625" style="33"/>
    <col min="6913" max="6913" width="5" style="33" customWidth="1"/>
    <col min="6914" max="6914" width="44.42578125" style="33" customWidth="1"/>
    <col min="6915" max="6915" width="12.5703125" style="33" customWidth="1"/>
    <col min="6916" max="6916" width="13.140625" style="33" customWidth="1"/>
    <col min="6917" max="6917" width="10.28515625" style="33" customWidth="1"/>
    <col min="6918" max="6918" width="11.7109375" style="33" customWidth="1"/>
    <col min="6919" max="6919" width="11.42578125" style="33" customWidth="1"/>
    <col min="6920" max="6920" width="11.7109375" style="33" customWidth="1"/>
    <col min="6921" max="6921" width="11.5703125" style="33" customWidth="1"/>
    <col min="6922" max="6922" width="13.140625" style="33" customWidth="1"/>
    <col min="6923" max="7168" width="9.140625" style="33"/>
    <col min="7169" max="7169" width="5" style="33" customWidth="1"/>
    <col min="7170" max="7170" width="44.42578125" style="33" customWidth="1"/>
    <col min="7171" max="7171" width="12.5703125" style="33" customWidth="1"/>
    <col min="7172" max="7172" width="13.140625" style="33" customWidth="1"/>
    <col min="7173" max="7173" width="10.28515625" style="33" customWidth="1"/>
    <col min="7174" max="7174" width="11.7109375" style="33" customWidth="1"/>
    <col min="7175" max="7175" width="11.42578125" style="33" customWidth="1"/>
    <col min="7176" max="7176" width="11.7109375" style="33" customWidth="1"/>
    <col min="7177" max="7177" width="11.5703125" style="33" customWidth="1"/>
    <col min="7178" max="7178" width="13.140625" style="33" customWidth="1"/>
    <col min="7179" max="7424" width="9.140625" style="33"/>
    <col min="7425" max="7425" width="5" style="33" customWidth="1"/>
    <col min="7426" max="7426" width="44.42578125" style="33" customWidth="1"/>
    <col min="7427" max="7427" width="12.5703125" style="33" customWidth="1"/>
    <col min="7428" max="7428" width="13.140625" style="33" customWidth="1"/>
    <col min="7429" max="7429" width="10.28515625" style="33" customWidth="1"/>
    <col min="7430" max="7430" width="11.7109375" style="33" customWidth="1"/>
    <col min="7431" max="7431" width="11.42578125" style="33" customWidth="1"/>
    <col min="7432" max="7432" width="11.7109375" style="33" customWidth="1"/>
    <col min="7433" max="7433" width="11.5703125" style="33" customWidth="1"/>
    <col min="7434" max="7434" width="13.140625" style="33" customWidth="1"/>
    <col min="7435" max="7680" width="9.140625" style="33"/>
    <col min="7681" max="7681" width="5" style="33" customWidth="1"/>
    <col min="7682" max="7682" width="44.42578125" style="33" customWidth="1"/>
    <col min="7683" max="7683" width="12.5703125" style="33" customWidth="1"/>
    <col min="7684" max="7684" width="13.140625" style="33" customWidth="1"/>
    <col min="7685" max="7685" width="10.28515625" style="33" customWidth="1"/>
    <col min="7686" max="7686" width="11.7109375" style="33" customWidth="1"/>
    <col min="7687" max="7687" width="11.42578125" style="33" customWidth="1"/>
    <col min="7688" max="7688" width="11.7109375" style="33" customWidth="1"/>
    <col min="7689" max="7689" width="11.5703125" style="33" customWidth="1"/>
    <col min="7690" max="7690" width="13.140625" style="33" customWidth="1"/>
    <col min="7691" max="7936" width="9.140625" style="33"/>
    <col min="7937" max="7937" width="5" style="33" customWidth="1"/>
    <col min="7938" max="7938" width="44.42578125" style="33" customWidth="1"/>
    <col min="7939" max="7939" width="12.5703125" style="33" customWidth="1"/>
    <col min="7940" max="7940" width="13.140625" style="33" customWidth="1"/>
    <col min="7941" max="7941" width="10.28515625" style="33" customWidth="1"/>
    <col min="7942" max="7942" width="11.7109375" style="33" customWidth="1"/>
    <col min="7943" max="7943" width="11.42578125" style="33" customWidth="1"/>
    <col min="7944" max="7944" width="11.7109375" style="33" customWidth="1"/>
    <col min="7945" max="7945" width="11.5703125" style="33" customWidth="1"/>
    <col min="7946" max="7946" width="13.140625" style="33" customWidth="1"/>
    <col min="7947" max="8192" width="9.140625" style="33"/>
    <col min="8193" max="8193" width="5" style="33" customWidth="1"/>
    <col min="8194" max="8194" width="44.42578125" style="33" customWidth="1"/>
    <col min="8195" max="8195" width="12.5703125" style="33" customWidth="1"/>
    <col min="8196" max="8196" width="13.140625" style="33" customWidth="1"/>
    <col min="8197" max="8197" width="10.28515625" style="33" customWidth="1"/>
    <col min="8198" max="8198" width="11.7109375" style="33" customWidth="1"/>
    <col min="8199" max="8199" width="11.42578125" style="33" customWidth="1"/>
    <col min="8200" max="8200" width="11.7109375" style="33" customWidth="1"/>
    <col min="8201" max="8201" width="11.5703125" style="33" customWidth="1"/>
    <col min="8202" max="8202" width="13.140625" style="33" customWidth="1"/>
    <col min="8203" max="8448" width="9.140625" style="33"/>
    <col min="8449" max="8449" width="5" style="33" customWidth="1"/>
    <col min="8450" max="8450" width="44.42578125" style="33" customWidth="1"/>
    <col min="8451" max="8451" width="12.5703125" style="33" customWidth="1"/>
    <col min="8452" max="8452" width="13.140625" style="33" customWidth="1"/>
    <col min="8453" max="8453" width="10.28515625" style="33" customWidth="1"/>
    <col min="8454" max="8454" width="11.7109375" style="33" customWidth="1"/>
    <col min="8455" max="8455" width="11.42578125" style="33" customWidth="1"/>
    <col min="8456" max="8456" width="11.7109375" style="33" customWidth="1"/>
    <col min="8457" max="8457" width="11.5703125" style="33" customWidth="1"/>
    <col min="8458" max="8458" width="13.140625" style="33" customWidth="1"/>
    <col min="8459" max="8704" width="9.140625" style="33"/>
    <col min="8705" max="8705" width="5" style="33" customWidth="1"/>
    <col min="8706" max="8706" width="44.42578125" style="33" customWidth="1"/>
    <col min="8707" max="8707" width="12.5703125" style="33" customWidth="1"/>
    <col min="8708" max="8708" width="13.140625" style="33" customWidth="1"/>
    <col min="8709" max="8709" width="10.28515625" style="33" customWidth="1"/>
    <col min="8710" max="8710" width="11.7109375" style="33" customWidth="1"/>
    <col min="8711" max="8711" width="11.42578125" style="33" customWidth="1"/>
    <col min="8712" max="8712" width="11.7109375" style="33" customWidth="1"/>
    <col min="8713" max="8713" width="11.5703125" style="33" customWidth="1"/>
    <col min="8714" max="8714" width="13.140625" style="33" customWidth="1"/>
    <col min="8715" max="8960" width="9.140625" style="33"/>
    <col min="8961" max="8961" width="5" style="33" customWidth="1"/>
    <col min="8962" max="8962" width="44.42578125" style="33" customWidth="1"/>
    <col min="8963" max="8963" width="12.5703125" style="33" customWidth="1"/>
    <col min="8964" max="8964" width="13.140625" style="33" customWidth="1"/>
    <col min="8965" max="8965" width="10.28515625" style="33" customWidth="1"/>
    <col min="8966" max="8966" width="11.7109375" style="33" customWidth="1"/>
    <col min="8967" max="8967" width="11.42578125" style="33" customWidth="1"/>
    <col min="8968" max="8968" width="11.7109375" style="33" customWidth="1"/>
    <col min="8969" max="8969" width="11.5703125" style="33" customWidth="1"/>
    <col min="8970" max="8970" width="13.140625" style="33" customWidth="1"/>
    <col min="8971" max="9216" width="9.140625" style="33"/>
    <col min="9217" max="9217" width="5" style="33" customWidth="1"/>
    <col min="9218" max="9218" width="44.42578125" style="33" customWidth="1"/>
    <col min="9219" max="9219" width="12.5703125" style="33" customWidth="1"/>
    <col min="9220" max="9220" width="13.140625" style="33" customWidth="1"/>
    <col min="9221" max="9221" width="10.28515625" style="33" customWidth="1"/>
    <col min="9222" max="9222" width="11.7109375" style="33" customWidth="1"/>
    <col min="9223" max="9223" width="11.42578125" style="33" customWidth="1"/>
    <col min="9224" max="9224" width="11.7109375" style="33" customWidth="1"/>
    <col min="9225" max="9225" width="11.5703125" style="33" customWidth="1"/>
    <col min="9226" max="9226" width="13.140625" style="33" customWidth="1"/>
    <col min="9227" max="9472" width="9.140625" style="33"/>
    <col min="9473" max="9473" width="5" style="33" customWidth="1"/>
    <col min="9474" max="9474" width="44.42578125" style="33" customWidth="1"/>
    <col min="9475" max="9475" width="12.5703125" style="33" customWidth="1"/>
    <col min="9476" max="9476" width="13.140625" style="33" customWidth="1"/>
    <col min="9477" max="9477" width="10.28515625" style="33" customWidth="1"/>
    <col min="9478" max="9478" width="11.7109375" style="33" customWidth="1"/>
    <col min="9479" max="9479" width="11.42578125" style="33" customWidth="1"/>
    <col min="9480" max="9480" width="11.7109375" style="33" customWidth="1"/>
    <col min="9481" max="9481" width="11.5703125" style="33" customWidth="1"/>
    <col min="9482" max="9482" width="13.140625" style="33" customWidth="1"/>
    <col min="9483" max="9728" width="9.140625" style="33"/>
    <col min="9729" max="9729" width="5" style="33" customWidth="1"/>
    <col min="9730" max="9730" width="44.42578125" style="33" customWidth="1"/>
    <col min="9731" max="9731" width="12.5703125" style="33" customWidth="1"/>
    <col min="9732" max="9732" width="13.140625" style="33" customWidth="1"/>
    <col min="9733" max="9733" width="10.28515625" style="33" customWidth="1"/>
    <col min="9734" max="9734" width="11.7109375" style="33" customWidth="1"/>
    <col min="9735" max="9735" width="11.42578125" style="33" customWidth="1"/>
    <col min="9736" max="9736" width="11.7109375" style="33" customWidth="1"/>
    <col min="9737" max="9737" width="11.5703125" style="33" customWidth="1"/>
    <col min="9738" max="9738" width="13.140625" style="33" customWidth="1"/>
    <col min="9739" max="9984" width="9.140625" style="33"/>
    <col min="9985" max="9985" width="5" style="33" customWidth="1"/>
    <col min="9986" max="9986" width="44.42578125" style="33" customWidth="1"/>
    <col min="9987" max="9987" width="12.5703125" style="33" customWidth="1"/>
    <col min="9988" max="9988" width="13.140625" style="33" customWidth="1"/>
    <col min="9989" max="9989" width="10.28515625" style="33" customWidth="1"/>
    <col min="9990" max="9990" width="11.7109375" style="33" customWidth="1"/>
    <col min="9991" max="9991" width="11.42578125" style="33" customWidth="1"/>
    <col min="9992" max="9992" width="11.7109375" style="33" customWidth="1"/>
    <col min="9993" max="9993" width="11.5703125" style="33" customWidth="1"/>
    <col min="9994" max="9994" width="13.140625" style="33" customWidth="1"/>
    <col min="9995" max="10240" width="9.140625" style="33"/>
    <col min="10241" max="10241" width="5" style="33" customWidth="1"/>
    <col min="10242" max="10242" width="44.42578125" style="33" customWidth="1"/>
    <col min="10243" max="10243" width="12.5703125" style="33" customWidth="1"/>
    <col min="10244" max="10244" width="13.140625" style="33" customWidth="1"/>
    <col min="10245" max="10245" width="10.28515625" style="33" customWidth="1"/>
    <col min="10246" max="10246" width="11.7109375" style="33" customWidth="1"/>
    <col min="10247" max="10247" width="11.42578125" style="33" customWidth="1"/>
    <col min="10248" max="10248" width="11.7109375" style="33" customWidth="1"/>
    <col min="10249" max="10249" width="11.5703125" style="33" customWidth="1"/>
    <col min="10250" max="10250" width="13.140625" style="33" customWidth="1"/>
    <col min="10251" max="10496" width="9.140625" style="33"/>
    <col min="10497" max="10497" width="5" style="33" customWidth="1"/>
    <col min="10498" max="10498" width="44.42578125" style="33" customWidth="1"/>
    <col min="10499" max="10499" width="12.5703125" style="33" customWidth="1"/>
    <col min="10500" max="10500" width="13.140625" style="33" customWidth="1"/>
    <col min="10501" max="10501" width="10.28515625" style="33" customWidth="1"/>
    <col min="10502" max="10502" width="11.7109375" style="33" customWidth="1"/>
    <col min="10503" max="10503" width="11.42578125" style="33" customWidth="1"/>
    <col min="10504" max="10504" width="11.7109375" style="33" customWidth="1"/>
    <col min="10505" max="10505" width="11.5703125" style="33" customWidth="1"/>
    <col min="10506" max="10506" width="13.140625" style="33" customWidth="1"/>
    <col min="10507" max="10752" width="9.140625" style="33"/>
    <col min="10753" max="10753" width="5" style="33" customWidth="1"/>
    <col min="10754" max="10754" width="44.42578125" style="33" customWidth="1"/>
    <col min="10755" max="10755" width="12.5703125" style="33" customWidth="1"/>
    <col min="10756" max="10756" width="13.140625" style="33" customWidth="1"/>
    <col min="10757" max="10757" width="10.28515625" style="33" customWidth="1"/>
    <col min="10758" max="10758" width="11.7109375" style="33" customWidth="1"/>
    <col min="10759" max="10759" width="11.42578125" style="33" customWidth="1"/>
    <col min="10760" max="10760" width="11.7109375" style="33" customWidth="1"/>
    <col min="10761" max="10761" width="11.5703125" style="33" customWidth="1"/>
    <col min="10762" max="10762" width="13.140625" style="33" customWidth="1"/>
    <col min="10763" max="11008" width="9.140625" style="33"/>
    <col min="11009" max="11009" width="5" style="33" customWidth="1"/>
    <col min="11010" max="11010" width="44.42578125" style="33" customWidth="1"/>
    <col min="11011" max="11011" width="12.5703125" style="33" customWidth="1"/>
    <col min="11012" max="11012" width="13.140625" style="33" customWidth="1"/>
    <col min="11013" max="11013" width="10.28515625" style="33" customWidth="1"/>
    <col min="11014" max="11014" width="11.7109375" style="33" customWidth="1"/>
    <col min="11015" max="11015" width="11.42578125" style="33" customWidth="1"/>
    <col min="11016" max="11016" width="11.7109375" style="33" customWidth="1"/>
    <col min="11017" max="11017" width="11.5703125" style="33" customWidth="1"/>
    <col min="11018" max="11018" width="13.140625" style="33" customWidth="1"/>
    <col min="11019" max="11264" width="9.140625" style="33"/>
    <col min="11265" max="11265" width="5" style="33" customWidth="1"/>
    <col min="11266" max="11266" width="44.42578125" style="33" customWidth="1"/>
    <col min="11267" max="11267" width="12.5703125" style="33" customWidth="1"/>
    <col min="11268" max="11268" width="13.140625" style="33" customWidth="1"/>
    <col min="11269" max="11269" width="10.28515625" style="33" customWidth="1"/>
    <col min="11270" max="11270" width="11.7109375" style="33" customWidth="1"/>
    <col min="11271" max="11271" width="11.42578125" style="33" customWidth="1"/>
    <col min="11272" max="11272" width="11.7109375" style="33" customWidth="1"/>
    <col min="11273" max="11273" width="11.5703125" style="33" customWidth="1"/>
    <col min="11274" max="11274" width="13.140625" style="33" customWidth="1"/>
    <col min="11275" max="11520" width="9.140625" style="33"/>
    <col min="11521" max="11521" width="5" style="33" customWidth="1"/>
    <col min="11522" max="11522" width="44.42578125" style="33" customWidth="1"/>
    <col min="11523" max="11523" width="12.5703125" style="33" customWidth="1"/>
    <col min="11524" max="11524" width="13.140625" style="33" customWidth="1"/>
    <col min="11525" max="11525" width="10.28515625" style="33" customWidth="1"/>
    <col min="11526" max="11526" width="11.7109375" style="33" customWidth="1"/>
    <col min="11527" max="11527" width="11.42578125" style="33" customWidth="1"/>
    <col min="11528" max="11528" width="11.7109375" style="33" customWidth="1"/>
    <col min="11529" max="11529" width="11.5703125" style="33" customWidth="1"/>
    <col min="11530" max="11530" width="13.140625" style="33" customWidth="1"/>
    <col min="11531" max="11776" width="9.140625" style="33"/>
    <col min="11777" max="11777" width="5" style="33" customWidth="1"/>
    <col min="11778" max="11778" width="44.42578125" style="33" customWidth="1"/>
    <col min="11779" max="11779" width="12.5703125" style="33" customWidth="1"/>
    <col min="11780" max="11780" width="13.140625" style="33" customWidth="1"/>
    <col min="11781" max="11781" width="10.28515625" style="33" customWidth="1"/>
    <col min="11782" max="11782" width="11.7109375" style="33" customWidth="1"/>
    <col min="11783" max="11783" width="11.42578125" style="33" customWidth="1"/>
    <col min="11784" max="11784" width="11.7109375" style="33" customWidth="1"/>
    <col min="11785" max="11785" width="11.5703125" style="33" customWidth="1"/>
    <col min="11786" max="11786" width="13.140625" style="33" customWidth="1"/>
    <col min="11787" max="12032" width="9.140625" style="33"/>
    <col min="12033" max="12033" width="5" style="33" customWidth="1"/>
    <col min="12034" max="12034" width="44.42578125" style="33" customWidth="1"/>
    <col min="12035" max="12035" width="12.5703125" style="33" customWidth="1"/>
    <col min="12036" max="12036" width="13.140625" style="33" customWidth="1"/>
    <col min="12037" max="12037" width="10.28515625" style="33" customWidth="1"/>
    <col min="12038" max="12038" width="11.7109375" style="33" customWidth="1"/>
    <col min="12039" max="12039" width="11.42578125" style="33" customWidth="1"/>
    <col min="12040" max="12040" width="11.7109375" style="33" customWidth="1"/>
    <col min="12041" max="12041" width="11.5703125" style="33" customWidth="1"/>
    <col min="12042" max="12042" width="13.140625" style="33" customWidth="1"/>
    <col min="12043" max="12288" width="9.140625" style="33"/>
    <col min="12289" max="12289" width="5" style="33" customWidth="1"/>
    <col min="12290" max="12290" width="44.42578125" style="33" customWidth="1"/>
    <col min="12291" max="12291" width="12.5703125" style="33" customWidth="1"/>
    <col min="12292" max="12292" width="13.140625" style="33" customWidth="1"/>
    <col min="12293" max="12293" width="10.28515625" style="33" customWidth="1"/>
    <col min="12294" max="12294" width="11.7109375" style="33" customWidth="1"/>
    <col min="12295" max="12295" width="11.42578125" style="33" customWidth="1"/>
    <col min="12296" max="12296" width="11.7109375" style="33" customWidth="1"/>
    <col min="12297" max="12297" width="11.5703125" style="33" customWidth="1"/>
    <col min="12298" max="12298" width="13.140625" style="33" customWidth="1"/>
    <col min="12299" max="12544" width="9.140625" style="33"/>
    <col min="12545" max="12545" width="5" style="33" customWidth="1"/>
    <col min="12546" max="12546" width="44.42578125" style="33" customWidth="1"/>
    <col min="12547" max="12547" width="12.5703125" style="33" customWidth="1"/>
    <col min="12548" max="12548" width="13.140625" style="33" customWidth="1"/>
    <col min="12549" max="12549" width="10.28515625" style="33" customWidth="1"/>
    <col min="12550" max="12550" width="11.7109375" style="33" customWidth="1"/>
    <col min="12551" max="12551" width="11.42578125" style="33" customWidth="1"/>
    <col min="12552" max="12552" width="11.7109375" style="33" customWidth="1"/>
    <col min="12553" max="12553" width="11.5703125" style="33" customWidth="1"/>
    <col min="12554" max="12554" width="13.140625" style="33" customWidth="1"/>
    <col min="12555" max="12800" width="9.140625" style="33"/>
    <col min="12801" max="12801" width="5" style="33" customWidth="1"/>
    <col min="12802" max="12802" width="44.42578125" style="33" customWidth="1"/>
    <col min="12803" max="12803" width="12.5703125" style="33" customWidth="1"/>
    <col min="12804" max="12804" width="13.140625" style="33" customWidth="1"/>
    <col min="12805" max="12805" width="10.28515625" style="33" customWidth="1"/>
    <col min="12806" max="12806" width="11.7109375" style="33" customWidth="1"/>
    <col min="12807" max="12807" width="11.42578125" style="33" customWidth="1"/>
    <col min="12808" max="12808" width="11.7109375" style="33" customWidth="1"/>
    <col min="12809" max="12809" width="11.5703125" style="33" customWidth="1"/>
    <col min="12810" max="12810" width="13.140625" style="33" customWidth="1"/>
    <col min="12811" max="13056" width="9.140625" style="33"/>
    <col min="13057" max="13057" width="5" style="33" customWidth="1"/>
    <col min="13058" max="13058" width="44.42578125" style="33" customWidth="1"/>
    <col min="13059" max="13059" width="12.5703125" style="33" customWidth="1"/>
    <col min="13060" max="13060" width="13.140625" style="33" customWidth="1"/>
    <col min="13061" max="13061" width="10.28515625" style="33" customWidth="1"/>
    <col min="13062" max="13062" width="11.7109375" style="33" customWidth="1"/>
    <col min="13063" max="13063" width="11.42578125" style="33" customWidth="1"/>
    <col min="13064" max="13064" width="11.7109375" style="33" customWidth="1"/>
    <col min="13065" max="13065" width="11.5703125" style="33" customWidth="1"/>
    <col min="13066" max="13066" width="13.140625" style="33" customWidth="1"/>
    <col min="13067" max="13312" width="9.140625" style="33"/>
    <col min="13313" max="13313" width="5" style="33" customWidth="1"/>
    <col min="13314" max="13314" width="44.42578125" style="33" customWidth="1"/>
    <col min="13315" max="13315" width="12.5703125" style="33" customWidth="1"/>
    <col min="13316" max="13316" width="13.140625" style="33" customWidth="1"/>
    <col min="13317" max="13317" width="10.28515625" style="33" customWidth="1"/>
    <col min="13318" max="13318" width="11.7109375" style="33" customWidth="1"/>
    <col min="13319" max="13319" width="11.42578125" style="33" customWidth="1"/>
    <col min="13320" max="13320" width="11.7109375" style="33" customWidth="1"/>
    <col min="13321" max="13321" width="11.5703125" style="33" customWidth="1"/>
    <col min="13322" max="13322" width="13.140625" style="33" customWidth="1"/>
    <col min="13323" max="13568" width="9.140625" style="33"/>
    <col min="13569" max="13569" width="5" style="33" customWidth="1"/>
    <col min="13570" max="13570" width="44.42578125" style="33" customWidth="1"/>
    <col min="13571" max="13571" width="12.5703125" style="33" customWidth="1"/>
    <col min="13572" max="13572" width="13.140625" style="33" customWidth="1"/>
    <col min="13573" max="13573" width="10.28515625" style="33" customWidth="1"/>
    <col min="13574" max="13574" width="11.7109375" style="33" customWidth="1"/>
    <col min="13575" max="13575" width="11.42578125" style="33" customWidth="1"/>
    <col min="13576" max="13576" width="11.7109375" style="33" customWidth="1"/>
    <col min="13577" max="13577" width="11.5703125" style="33" customWidth="1"/>
    <col min="13578" max="13578" width="13.140625" style="33" customWidth="1"/>
    <col min="13579" max="13824" width="9.140625" style="33"/>
    <col min="13825" max="13825" width="5" style="33" customWidth="1"/>
    <col min="13826" max="13826" width="44.42578125" style="33" customWidth="1"/>
    <col min="13827" max="13827" width="12.5703125" style="33" customWidth="1"/>
    <col min="13828" max="13828" width="13.140625" style="33" customWidth="1"/>
    <col min="13829" max="13829" width="10.28515625" style="33" customWidth="1"/>
    <col min="13830" max="13830" width="11.7109375" style="33" customWidth="1"/>
    <col min="13831" max="13831" width="11.42578125" style="33" customWidth="1"/>
    <col min="13832" max="13832" width="11.7109375" style="33" customWidth="1"/>
    <col min="13833" max="13833" width="11.5703125" style="33" customWidth="1"/>
    <col min="13834" max="13834" width="13.140625" style="33" customWidth="1"/>
    <col min="13835" max="14080" width="9.140625" style="33"/>
    <col min="14081" max="14081" width="5" style="33" customWidth="1"/>
    <col min="14082" max="14082" width="44.42578125" style="33" customWidth="1"/>
    <col min="14083" max="14083" width="12.5703125" style="33" customWidth="1"/>
    <col min="14084" max="14084" width="13.140625" style="33" customWidth="1"/>
    <col min="14085" max="14085" width="10.28515625" style="33" customWidth="1"/>
    <col min="14086" max="14086" width="11.7109375" style="33" customWidth="1"/>
    <col min="14087" max="14087" width="11.42578125" style="33" customWidth="1"/>
    <col min="14088" max="14088" width="11.7109375" style="33" customWidth="1"/>
    <col min="14089" max="14089" width="11.5703125" style="33" customWidth="1"/>
    <col min="14090" max="14090" width="13.140625" style="33" customWidth="1"/>
    <col min="14091" max="14336" width="9.140625" style="33"/>
    <col min="14337" max="14337" width="5" style="33" customWidth="1"/>
    <col min="14338" max="14338" width="44.42578125" style="33" customWidth="1"/>
    <col min="14339" max="14339" width="12.5703125" style="33" customWidth="1"/>
    <col min="14340" max="14340" width="13.140625" style="33" customWidth="1"/>
    <col min="14341" max="14341" width="10.28515625" style="33" customWidth="1"/>
    <col min="14342" max="14342" width="11.7109375" style="33" customWidth="1"/>
    <col min="14343" max="14343" width="11.42578125" style="33" customWidth="1"/>
    <col min="14344" max="14344" width="11.7109375" style="33" customWidth="1"/>
    <col min="14345" max="14345" width="11.5703125" style="33" customWidth="1"/>
    <col min="14346" max="14346" width="13.140625" style="33" customWidth="1"/>
    <col min="14347" max="14592" width="9.140625" style="33"/>
    <col min="14593" max="14593" width="5" style="33" customWidth="1"/>
    <col min="14594" max="14594" width="44.42578125" style="33" customWidth="1"/>
    <col min="14595" max="14595" width="12.5703125" style="33" customWidth="1"/>
    <col min="14596" max="14596" width="13.140625" style="33" customWidth="1"/>
    <col min="14597" max="14597" width="10.28515625" style="33" customWidth="1"/>
    <col min="14598" max="14598" width="11.7109375" style="33" customWidth="1"/>
    <col min="14599" max="14599" width="11.42578125" style="33" customWidth="1"/>
    <col min="14600" max="14600" width="11.7109375" style="33" customWidth="1"/>
    <col min="14601" max="14601" width="11.5703125" style="33" customWidth="1"/>
    <col min="14602" max="14602" width="13.140625" style="33" customWidth="1"/>
    <col min="14603" max="14848" width="9.140625" style="33"/>
    <col min="14849" max="14849" width="5" style="33" customWidth="1"/>
    <col min="14850" max="14850" width="44.42578125" style="33" customWidth="1"/>
    <col min="14851" max="14851" width="12.5703125" style="33" customWidth="1"/>
    <col min="14852" max="14852" width="13.140625" style="33" customWidth="1"/>
    <col min="14853" max="14853" width="10.28515625" style="33" customWidth="1"/>
    <col min="14854" max="14854" width="11.7109375" style="33" customWidth="1"/>
    <col min="14855" max="14855" width="11.42578125" style="33" customWidth="1"/>
    <col min="14856" max="14856" width="11.7109375" style="33" customWidth="1"/>
    <col min="14857" max="14857" width="11.5703125" style="33" customWidth="1"/>
    <col min="14858" max="14858" width="13.140625" style="33" customWidth="1"/>
    <col min="14859" max="15104" width="9.140625" style="33"/>
    <col min="15105" max="15105" width="5" style="33" customWidth="1"/>
    <col min="15106" max="15106" width="44.42578125" style="33" customWidth="1"/>
    <col min="15107" max="15107" width="12.5703125" style="33" customWidth="1"/>
    <col min="15108" max="15108" width="13.140625" style="33" customWidth="1"/>
    <col min="15109" max="15109" width="10.28515625" style="33" customWidth="1"/>
    <col min="15110" max="15110" width="11.7109375" style="33" customWidth="1"/>
    <col min="15111" max="15111" width="11.42578125" style="33" customWidth="1"/>
    <col min="15112" max="15112" width="11.7109375" style="33" customWidth="1"/>
    <col min="15113" max="15113" width="11.5703125" style="33" customWidth="1"/>
    <col min="15114" max="15114" width="13.140625" style="33" customWidth="1"/>
    <col min="15115" max="15360" width="9.140625" style="33"/>
    <col min="15361" max="15361" width="5" style="33" customWidth="1"/>
    <col min="15362" max="15362" width="44.42578125" style="33" customWidth="1"/>
    <col min="15363" max="15363" width="12.5703125" style="33" customWidth="1"/>
    <col min="15364" max="15364" width="13.140625" style="33" customWidth="1"/>
    <col min="15365" max="15365" width="10.28515625" style="33" customWidth="1"/>
    <col min="15366" max="15366" width="11.7109375" style="33" customWidth="1"/>
    <col min="15367" max="15367" width="11.42578125" style="33" customWidth="1"/>
    <col min="15368" max="15368" width="11.7109375" style="33" customWidth="1"/>
    <col min="15369" max="15369" width="11.5703125" style="33" customWidth="1"/>
    <col min="15370" max="15370" width="13.140625" style="33" customWidth="1"/>
    <col min="15371" max="15616" width="9.140625" style="33"/>
    <col min="15617" max="15617" width="5" style="33" customWidth="1"/>
    <col min="15618" max="15618" width="44.42578125" style="33" customWidth="1"/>
    <col min="15619" max="15619" width="12.5703125" style="33" customWidth="1"/>
    <col min="15620" max="15620" width="13.140625" style="33" customWidth="1"/>
    <col min="15621" max="15621" width="10.28515625" style="33" customWidth="1"/>
    <col min="15622" max="15622" width="11.7109375" style="33" customWidth="1"/>
    <col min="15623" max="15623" width="11.42578125" style="33" customWidth="1"/>
    <col min="15624" max="15624" width="11.7109375" style="33" customWidth="1"/>
    <col min="15625" max="15625" width="11.5703125" style="33" customWidth="1"/>
    <col min="15626" max="15626" width="13.140625" style="33" customWidth="1"/>
    <col min="15627" max="15872" width="9.140625" style="33"/>
    <col min="15873" max="15873" width="5" style="33" customWidth="1"/>
    <col min="15874" max="15874" width="44.42578125" style="33" customWidth="1"/>
    <col min="15875" max="15875" width="12.5703125" style="33" customWidth="1"/>
    <col min="15876" max="15876" width="13.140625" style="33" customWidth="1"/>
    <col min="15877" max="15877" width="10.28515625" style="33" customWidth="1"/>
    <col min="15878" max="15878" width="11.7109375" style="33" customWidth="1"/>
    <col min="15879" max="15879" width="11.42578125" style="33" customWidth="1"/>
    <col min="15880" max="15880" width="11.7109375" style="33" customWidth="1"/>
    <col min="15881" max="15881" width="11.5703125" style="33" customWidth="1"/>
    <col min="15882" max="15882" width="13.140625" style="33" customWidth="1"/>
    <col min="15883" max="16128" width="9.140625" style="33"/>
    <col min="16129" max="16129" width="5" style="33" customWidth="1"/>
    <col min="16130" max="16130" width="44.42578125" style="33" customWidth="1"/>
    <col min="16131" max="16131" width="12.5703125" style="33" customWidth="1"/>
    <col min="16132" max="16132" width="13.140625" style="33" customWidth="1"/>
    <col min="16133" max="16133" width="10.28515625" style="33" customWidth="1"/>
    <col min="16134" max="16134" width="11.7109375" style="33" customWidth="1"/>
    <col min="16135" max="16135" width="11.42578125" style="33" customWidth="1"/>
    <col min="16136" max="16136" width="11.7109375" style="33" customWidth="1"/>
    <col min="16137" max="16137" width="11.5703125" style="33" customWidth="1"/>
    <col min="16138" max="16138" width="13.140625" style="33" customWidth="1"/>
    <col min="16139" max="16384" width="9.140625" style="33"/>
  </cols>
  <sheetData>
    <row r="1" spans="1:10" ht="11.25" customHeight="1" x14ac:dyDescent="0.2">
      <c r="I1" s="90" t="s">
        <v>79</v>
      </c>
      <c r="J1" s="90"/>
    </row>
    <row r="2" spans="1:10" ht="11.25" customHeight="1" x14ac:dyDescent="0.2">
      <c r="I2" s="90" t="s">
        <v>80</v>
      </c>
      <c r="J2" s="90"/>
    </row>
    <row r="3" spans="1:10" ht="11.25" customHeight="1" x14ac:dyDescent="0.2">
      <c r="I3" s="90" t="s">
        <v>81</v>
      </c>
      <c r="J3" s="90"/>
    </row>
    <row r="4" spans="1:10" ht="11.25" customHeight="1" x14ac:dyDescent="0.2">
      <c r="I4" s="90" t="s">
        <v>82</v>
      </c>
      <c r="J4" s="90"/>
    </row>
    <row r="5" spans="1:10" ht="11.25" customHeight="1" x14ac:dyDescent="0.2">
      <c r="B5" s="91"/>
    </row>
    <row r="6" spans="1:10" ht="11.25" customHeight="1" x14ac:dyDescent="0.2">
      <c r="A6" s="92" t="s">
        <v>83</v>
      </c>
      <c r="B6" s="93"/>
      <c r="C6" s="93"/>
      <c r="D6" s="93"/>
      <c r="E6" s="93"/>
      <c r="F6" s="93"/>
      <c r="G6" s="93"/>
      <c r="H6" s="93"/>
      <c r="I6" s="93"/>
      <c r="J6" s="93"/>
    </row>
    <row r="7" spans="1:10" ht="11.25" customHeight="1" x14ac:dyDescent="0.2">
      <c r="A7" s="94"/>
      <c r="B7" s="94"/>
      <c r="C7" s="94"/>
      <c r="D7" s="94"/>
      <c r="E7" s="94"/>
      <c r="F7" s="94"/>
      <c r="G7" s="94"/>
      <c r="H7" s="94"/>
      <c r="I7" s="95" t="s">
        <v>2</v>
      </c>
      <c r="J7" s="94"/>
    </row>
    <row r="8" spans="1:10" ht="15.75" customHeight="1" x14ac:dyDescent="0.2">
      <c r="A8" s="96" t="s">
        <v>6</v>
      </c>
      <c r="B8" s="97"/>
      <c r="C8" s="96"/>
      <c r="D8" s="1176" t="s">
        <v>84</v>
      </c>
      <c r="E8" s="98" t="s">
        <v>85</v>
      </c>
      <c r="F8" s="1176" t="s">
        <v>12</v>
      </c>
      <c r="G8" s="99" t="s">
        <v>85</v>
      </c>
      <c r="H8" s="99"/>
      <c r="I8" s="99"/>
      <c r="J8" s="100"/>
    </row>
    <row r="9" spans="1:10" ht="18" customHeight="1" x14ac:dyDescent="0.2">
      <c r="A9" s="101" t="s">
        <v>86</v>
      </c>
      <c r="B9" s="101"/>
      <c r="C9" s="101"/>
      <c r="D9" s="1177"/>
      <c r="E9" s="1174" t="s">
        <v>87</v>
      </c>
      <c r="F9" s="1175"/>
      <c r="G9" s="1174" t="s">
        <v>88</v>
      </c>
      <c r="H9" s="1174" t="s">
        <v>89</v>
      </c>
      <c r="I9" s="1174" t="s">
        <v>90</v>
      </c>
      <c r="J9" s="1174" t="s">
        <v>87</v>
      </c>
    </row>
    <row r="10" spans="1:10" ht="48.75" customHeight="1" x14ac:dyDescent="0.2">
      <c r="A10" s="102" t="s">
        <v>91</v>
      </c>
      <c r="B10" s="103" t="s">
        <v>92</v>
      </c>
      <c r="C10" s="104" t="s">
        <v>93</v>
      </c>
      <c r="D10" s="1177"/>
      <c r="E10" s="1175"/>
      <c r="F10" s="1175"/>
      <c r="G10" s="1175"/>
      <c r="H10" s="1175"/>
      <c r="I10" s="1175"/>
      <c r="J10" s="1175"/>
    </row>
    <row r="11" spans="1:10" ht="14.25" customHeight="1" x14ac:dyDescent="0.2">
      <c r="A11" s="105"/>
      <c r="B11" s="105"/>
      <c r="C11" s="105"/>
      <c r="D11" s="1178"/>
      <c r="E11" s="106"/>
      <c r="F11" s="105"/>
      <c r="G11" s="105"/>
      <c r="H11" s="105"/>
      <c r="I11" s="105"/>
      <c r="J11" s="105"/>
    </row>
    <row r="12" spans="1:10" ht="14.25" customHeight="1" x14ac:dyDescent="0.2">
      <c r="A12" s="107">
        <v>1</v>
      </c>
      <c r="B12" s="107">
        <v>2</v>
      </c>
      <c r="C12" s="107">
        <v>3</v>
      </c>
      <c r="D12" s="107">
        <v>4</v>
      </c>
      <c r="E12" s="107">
        <v>5</v>
      </c>
      <c r="F12" s="107">
        <v>6</v>
      </c>
      <c r="G12" s="107">
        <v>7</v>
      </c>
      <c r="H12" s="107">
        <v>8</v>
      </c>
      <c r="I12" s="107">
        <v>9</v>
      </c>
      <c r="J12" s="107">
        <v>10</v>
      </c>
    </row>
    <row r="13" spans="1:10" ht="11.25" customHeight="1" x14ac:dyDescent="0.2">
      <c r="A13" s="108"/>
      <c r="B13" s="1232" t="s">
        <v>94</v>
      </c>
      <c r="C13" s="109"/>
      <c r="D13" s="109"/>
      <c r="E13" s="109"/>
      <c r="F13" s="109"/>
      <c r="G13" s="109"/>
      <c r="H13" s="109"/>
      <c r="I13" s="109"/>
      <c r="J13" s="109"/>
    </row>
    <row r="14" spans="1:10" ht="11.25" customHeight="1" thickBot="1" x14ac:dyDescent="0.25">
      <c r="A14" s="110" t="s">
        <v>17</v>
      </c>
      <c r="B14" s="111" t="s">
        <v>18</v>
      </c>
      <c r="C14" s="112">
        <f t="shared" ref="C14:J14" si="0">SUM(C15)</f>
        <v>11500</v>
      </c>
      <c r="D14" s="112">
        <f t="shared" si="0"/>
        <v>11500</v>
      </c>
      <c r="E14" s="112">
        <f t="shared" si="0"/>
        <v>0</v>
      </c>
      <c r="F14" s="112">
        <f t="shared" si="0"/>
        <v>0</v>
      </c>
      <c r="G14" s="112">
        <f t="shared" si="0"/>
        <v>0</v>
      </c>
      <c r="H14" s="112">
        <f t="shared" si="0"/>
        <v>0</v>
      </c>
      <c r="I14" s="112">
        <f t="shared" si="0"/>
        <v>0</v>
      </c>
      <c r="J14" s="112">
        <f t="shared" si="0"/>
        <v>0</v>
      </c>
    </row>
    <row r="15" spans="1:10" ht="11.25" customHeight="1" thickTop="1" x14ac:dyDescent="0.2">
      <c r="A15" s="113" t="s">
        <v>95</v>
      </c>
      <c r="B15" s="114" t="s">
        <v>96</v>
      </c>
      <c r="C15" s="115">
        <f>SUM(C16:C20)</f>
        <v>11500</v>
      </c>
      <c r="D15" s="115">
        <f>SUM(D16:D20)</f>
        <v>11500</v>
      </c>
      <c r="E15" s="115">
        <f t="shared" ref="E15:J15" si="1">SUM(E16:E16)</f>
        <v>0</v>
      </c>
      <c r="F15" s="115">
        <f t="shared" si="1"/>
        <v>0</v>
      </c>
      <c r="G15" s="115">
        <f t="shared" si="1"/>
        <v>0</v>
      </c>
      <c r="H15" s="115">
        <f t="shared" si="1"/>
        <v>0</v>
      </c>
      <c r="I15" s="115">
        <f t="shared" si="1"/>
        <v>0</v>
      </c>
      <c r="J15" s="115">
        <f t="shared" si="1"/>
        <v>0</v>
      </c>
    </row>
    <row r="16" spans="1:10" ht="11.25" customHeight="1" x14ac:dyDescent="0.2">
      <c r="A16" s="116" t="s">
        <v>97</v>
      </c>
      <c r="B16" s="117" t="s">
        <v>98</v>
      </c>
      <c r="C16" s="118">
        <f>SUM(D16:F16)</f>
        <v>2000</v>
      </c>
      <c r="D16" s="119">
        <v>2000</v>
      </c>
      <c r="E16" s="119">
        <v>0</v>
      </c>
      <c r="F16" s="119">
        <v>0</v>
      </c>
      <c r="G16" s="119">
        <v>0</v>
      </c>
      <c r="H16" s="119">
        <v>0</v>
      </c>
      <c r="I16" s="119">
        <v>0</v>
      </c>
      <c r="J16" s="119">
        <v>0</v>
      </c>
    </row>
    <row r="17" spans="1:10" ht="11.25" customHeight="1" x14ac:dyDescent="0.2">
      <c r="A17" s="116" t="s">
        <v>99</v>
      </c>
      <c r="B17" s="117" t="s">
        <v>100</v>
      </c>
      <c r="C17" s="120"/>
      <c r="D17" s="117"/>
      <c r="E17" s="117"/>
      <c r="F17" s="121"/>
      <c r="G17" s="121"/>
      <c r="H17" s="121"/>
      <c r="I17" s="121"/>
      <c r="J17" s="121"/>
    </row>
    <row r="18" spans="1:10" ht="11.25" customHeight="1" x14ac:dyDescent="0.2">
      <c r="A18" s="116"/>
      <c r="B18" s="117" t="s">
        <v>101</v>
      </c>
      <c r="C18" s="120"/>
      <c r="D18" s="117"/>
      <c r="E18" s="117"/>
      <c r="F18" s="121"/>
      <c r="G18" s="121"/>
      <c r="H18" s="121"/>
      <c r="I18" s="121"/>
      <c r="J18" s="121"/>
    </row>
    <row r="19" spans="1:10" ht="11.25" customHeight="1" x14ac:dyDescent="0.2">
      <c r="A19" s="116"/>
      <c r="B19" s="117" t="s">
        <v>102</v>
      </c>
      <c r="C19" s="120"/>
      <c r="D19" s="117"/>
      <c r="E19" s="117"/>
      <c r="F19" s="121"/>
      <c r="G19" s="121"/>
      <c r="H19" s="121"/>
      <c r="I19" s="121"/>
      <c r="J19" s="121"/>
    </row>
    <row r="20" spans="1:10" ht="11.25" customHeight="1" x14ac:dyDescent="0.2">
      <c r="A20" s="116"/>
      <c r="B20" s="117" t="s">
        <v>103</v>
      </c>
      <c r="C20" s="120">
        <v>9500</v>
      </c>
      <c r="D20" s="117">
        <v>9500</v>
      </c>
      <c r="E20" s="117">
        <v>0</v>
      </c>
      <c r="F20" s="121">
        <v>0</v>
      </c>
      <c r="G20" s="121">
        <v>0</v>
      </c>
      <c r="H20" s="121">
        <v>0</v>
      </c>
      <c r="I20" s="121">
        <v>0</v>
      </c>
      <c r="J20" s="121">
        <v>0</v>
      </c>
    </row>
    <row r="21" spans="1:10" ht="11.25" customHeight="1" thickBot="1" x14ac:dyDescent="0.25">
      <c r="A21" s="122" t="s">
        <v>19</v>
      </c>
      <c r="B21" s="123" t="s">
        <v>20</v>
      </c>
      <c r="C21" s="112">
        <f t="shared" ref="C21:J21" si="2">SUM(C22)</f>
        <v>55000</v>
      </c>
      <c r="D21" s="112">
        <f t="shared" si="2"/>
        <v>0</v>
      </c>
      <c r="E21" s="112">
        <f t="shared" si="2"/>
        <v>0</v>
      </c>
      <c r="F21" s="112">
        <f t="shared" si="2"/>
        <v>55000</v>
      </c>
      <c r="G21" s="112">
        <f t="shared" si="2"/>
        <v>0</v>
      </c>
      <c r="H21" s="112">
        <f t="shared" si="2"/>
        <v>55000</v>
      </c>
      <c r="I21" s="112">
        <f t="shared" si="2"/>
        <v>0</v>
      </c>
      <c r="J21" s="112">
        <f t="shared" si="2"/>
        <v>0</v>
      </c>
    </row>
    <row r="22" spans="1:10" ht="11.25" customHeight="1" thickTop="1" x14ac:dyDescent="0.2">
      <c r="A22" s="113" t="s">
        <v>104</v>
      </c>
      <c r="B22" s="114" t="s">
        <v>105</v>
      </c>
      <c r="C22" s="115">
        <f t="shared" ref="C22:J22" si="3">SUM(C23:C23)</f>
        <v>55000</v>
      </c>
      <c r="D22" s="115">
        <f t="shared" si="3"/>
        <v>0</v>
      </c>
      <c r="E22" s="115">
        <f t="shared" si="3"/>
        <v>0</v>
      </c>
      <c r="F22" s="115">
        <f t="shared" si="3"/>
        <v>55000</v>
      </c>
      <c r="G22" s="115">
        <f t="shared" si="3"/>
        <v>0</v>
      </c>
      <c r="H22" s="115">
        <f t="shared" si="3"/>
        <v>55000</v>
      </c>
      <c r="I22" s="115">
        <f t="shared" si="3"/>
        <v>0</v>
      </c>
      <c r="J22" s="115">
        <f t="shared" si="3"/>
        <v>0</v>
      </c>
    </row>
    <row r="23" spans="1:10" ht="11.25" customHeight="1" x14ac:dyDescent="0.2">
      <c r="A23" s="116" t="s">
        <v>106</v>
      </c>
      <c r="B23" s="121" t="s">
        <v>107</v>
      </c>
      <c r="C23" s="120">
        <f>SUM(F23)</f>
        <v>55000</v>
      </c>
      <c r="D23" s="117">
        <v>0</v>
      </c>
      <c r="E23" s="117">
        <v>0</v>
      </c>
      <c r="F23" s="117">
        <f>SUM(H23)</f>
        <v>55000</v>
      </c>
      <c r="G23" s="117">
        <v>0</v>
      </c>
      <c r="H23" s="117">
        <v>55000</v>
      </c>
      <c r="I23" s="117">
        <v>0</v>
      </c>
      <c r="J23" s="117">
        <v>0</v>
      </c>
    </row>
    <row r="24" spans="1:10" ht="11.25" customHeight="1" thickBot="1" x14ac:dyDescent="0.25">
      <c r="A24" s="122" t="s">
        <v>24</v>
      </c>
      <c r="B24" s="124" t="s">
        <v>25</v>
      </c>
      <c r="C24" s="112">
        <f t="shared" ref="C24:J24" si="4">SUM(C25,C55,C93,C86,C80,)</f>
        <v>104866426.90000001</v>
      </c>
      <c r="D24" s="112">
        <f t="shared" si="4"/>
        <v>13834148.439999999</v>
      </c>
      <c r="E24" s="112">
        <f t="shared" si="4"/>
        <v>95958.44</v>
      </c>
      <c r="F24" s="112">
        <f t="shared" si="4"/>
        <v>91032278.460000008</v>
      </c>
      <c r="G24" s="112">
        <f t="shared" si="4"/>
        <v>6359326.4199999999</v>
      </c>
      <c r="H24" s="112">
        <f t="shared" si="4"/>
        <v>0</v>
      </c>
      <c r="I24" s="112">
        <f t="shared" si="4"/>
        <v>0</v>
      </c>
      <c r="J24" s="112">
        <f t="shared" si="4"/>
        <v>84672952.040000007</v>
      </c>
    </row>
    <row r="25" spans="1:10" ht="11.25" customHeight="1" thickTop="1" x14ac:dyDescent="0.2">
      <c r="A25" s="125" t="s">
        <v>108</v>
      </c>
      <c r="B25" s="126" t="s">
        <v>109</v>
      </c>
      <c r="C25" s="127">
        <f t="shared" ref="C25:J25" si="5">SUM(C26:C54)</f>
        <v>77643093.390000001</v>
      </c>
      <c r="D25" s="127">
        <f t="shared" si="5"/>
        <v>8412608.4399999995</v>
      </c>
      <c r="E25" s="127">
        <f t="shared" si="5"/>
        <v>95958.44</v>
      </c>
      <c r="F25" s="127">
        <f t="shared" si="5"/>
        <v>69230484.950000003</v>
      </c>
      <c r="G25" s="127">
        <f t="shared" si="5"/>
        <v>0</v>
      </c>
      <c r="H25" s="127">
        <f t="shared" si="5"/>
        <v>0</v>
      </c>
      <c r="I25" s="127">
        <f t="shared" si="5"/>
        <v>0</v>
      </c>
      <c r="J25" s="127">
        <f t="shared" si="5"/>
        <v>69230484.950000003</v>
      </c>
    </row>
    <row r="26" spans="1:10" ht="11.25" customHeight="1" x14ac:dyDescent="0.2">
      <c r="A26" s="116" t="s">
        <v>110</v>
      </c>
      <c r="B26" s="128" t="s">
        <v>111</v>
      </c>
      <c r="C26" s="120"/>
      <c r="D26" s="120"/>
      <c r="E26" s="120"/>
      <c r="F26" s="120"/>
      <c r="G26" s="120"/>
      <c r="H26" s="129"/>
      <c r="I26" s="129"/>
      <c r="J26" s="129"/>
    </row>
    <row r="27" spans="1:10" ht="11.25" customHeight="1" x14ac:dyDescent="0.2">
      <c r="A27" s="116"/>
      <c r="B27" s="128" t="s">
        <v>112</v>
      </c>
      <c r="C27" s="120">
        <v>1500</v>
      </c>
      <c r="D27" s="120">
        <v>1500</v>
      </c>
      <c r="E27" s="120">
        <v>0</v>
      </c>
      <c r="F27" s="120">
        <v>0</v>
      </c>
      <c r="G27" s="120">
        <v>0</v>
      </c>
      <c r="H27" s="129">
        <v>0</v>
      </c>
      <c r="I27" s="129">
        <v>0</v>
      </c>
      <c r="J27" s="129">
        <v>0</v>
      </c>
    </row>
    <row r="28" spans="1:10" ht="11.25" customHeight="1" x14ac:dyDescent="0.2">
      <c r="A28" s="116" t="s">
        <v>97</v>
      </c>
      <c r="B28" s="128" t="s">
        <v>98</v>
      </c>
      <c r="C28" s="120">
        <f t="shared" ref="C28:C33" si="6">SUM(D28:F28)</f>
        <v>2200</v>
      </c>
      <c r="D28" s="120">
        <v>2200</v>
      </c>
      <c r="E28" s="120">
        <v>0</v>
      </c>
      <c r="F28" s="120">
        <f>SUM(G28:J28)</f>
        <v>0</v>
      </c>
      <c r="G28" s="120">
        <v>0</v>
      </c>
      <c r="H28" s="120">
        <v>0</v>
      </c>
      <c r="I28" s="120">
        <v>0</v>
      </c>
      <c r="J28" s="120">
        <v>0</v>
      </c>
    </row>
    <row r="29" spans="1:10" ht="11.25" customHeight="1" x14ac:dyDescent="0.2">
      <c r="A29" s="116" t="s">
        <v>113</v>
      </c>
      <c r="B29" s="121" t="s">
        <v>114</v>
      </c>
      <c r="C29" s="120">
        <f t="shared" si="6"/>
        <v>7001600</v>
      </c>
      <c r="D29" s="117">
        <f>7000000+1600</f>
        <v>7001600</v>
      </c>
      <c r="E29" s="117">
        <v>0</v>
      </c>
      <c r="F29" s="117">
        <v>0</v>
      </c>
      <c r="G29" s="117">
        <v>0</v>
      </c>
      <c r="H29" s="120">
        <v>0</v>
      </c>
      <c r="I29" s="120">
        <v>0</v>
      </c>
      <c r="J29" s="120">
        <v>0</v>
      </c>
    </row>
    <row r="30" spans="1:10" ht="11.25" customHeight="1" x14ac:dyDescent="0.2">
      <c r="A30" s="116" t="s">
        <v>115</v>
      </c>
      <c r="B30" s="121" t="s">
        <v>116</v>
      </c>
      <c r="C30" s="120">
        <f t="shared" si="6"/>
        <v>2200</v>
      </c>
      <c r="D30" s="117">
        <f>1000+1200</f>
        <v>2200</v>
      </c>
      <c r="E30" s="117">
        <v>0</v>
      </c>
      <c r="F30" s="117">
        <v>0</v>
      </c>
      <c r="G30" s="117">
        <v>0</v>
      </c>
      <c r="H30" s="120">
        <v>0</v>
      </c>
      <c r="I30" s="120">
        <v>0</v>
      </c>
      <c r="J30" s="120">
        <v>0</v>
      </c>
    </row>
    <row r="31" spans="1:10" ht="11.25" customHeight="1" x14ac:dyDescent="0.2">
      <c r="A31" s="116" t="s">
        <v>117</v>
      </c>
      <c r="B31" s="121" t="s">
        <v>118</v>
      </c>
      <c r="C31" s="120">
        <f t="shared" si="6"/>
        <v>214150</v>
      </c>
      <c r="D31" s="117">
        <f>200000+14150</f>
        <v>214150</v>
      </c>
      <c r="E31" s="117">
        <v>0</v>
      </c>
      <c r="F31" s="117">
        <v>0</v>
      </c>
      <c r="G31" s="117">
        <v>0</v>
      </c>
      <c r="H31" s="120">
        <v>0</v>
      </c>
      <c r="I31" s="120">
        <v>0</v>
      </c>
      <c r="J31" s="120">
        <v>0</v>
      </c>
    </row>
    <row r="32" spans="1:10" ht="11.25" customHeight="1" x14ac:dyDescent="0.2">
      <c r="A32" s="116" t="s">
        <v>119</v>
      </c>
      <c r="B32" s="121" t="s">
        <v>120</v>
      </c>
      <c r="C32" s="120">
        <f t="shared" si="6"/>
        <v>20000</v>
      </c>
      <c r="D32" s="117">
        <v>20000</v>
      </c>
      <c r="E32" s="117">
        <v>0</v>
      </c>
      <c r="F32" s="117">
        <v>0</v>
      </c>
      <c r="G32" s="117">
        <v>0</v>
      </c>
      <c r="H32" s="120">
        <v>0</v>
      </c>
      <c r="I32" s="120">
        <v>0</v>
      </c>
      <c r="J32" s="120">
        <v>0</v>
      </c>
    </row>
    <row r="33" spans="1:10" ht="11.25" customHeight="1" x14ac:dyDescent="0.2">
      <c r="A33" s="116" t="s">
        <v>121</v>
      </c>
      <c r="B33" s="128" t="s">
        <v>122</v>
      </c>
      <c r="C33" s="120">
        <f t="shared" si="6"/>
        <v>1075000</v>
      </c>
      <c r="D33" s="117">
        <f>1000000+75000</f>
        <v>1075000</v>
      </c>
      <c r="E33" s="117">
        <v>0</v>
      </c>
      <c r="F33" s="117">
        <v>0</v>
      </c>
      <c r="G33" s="117">
        <v>0</v>
      </c>
      <c r="H33" s="120">
        <v>0</v>
      </c>
      <c r="I33" s="120">
        <v>0</v>
      </c>
      <c r="J33" s="120">
        <v>0</v>
      </c>
    </row>
    <row r="34" spans="1:10" ht="53.25" customHeight="1" x14ac:dyDescent="0.2">
      <c r="A34" s="130" t="s">
        <v>123</v>
      </c>
      <c r="B34" s="131" t="s">
        <v>124</v>
      </c>
      <c r="C34" s="120">
        <f>SUM(D34)</f>
        <v>95958.44</v>
      </c>
      <c r="D34" s="120">
        <f>SUM(E34)</f>
        <v>95958.44</v>
      </c>
      <c r="E34" s="120">
        <v>95958.44</v>
      </c>
      <c r="F34" s="120">
        <v>0</v>
      </c>
      <c r="G34" s="120">
        <v>0</v>
      </c>
      <c r="H34" s="120">
        <v>0</v>
      </c>
      <c r="I34" s="120">
        <v>0</v>
      </c>
      <c r="J34" s="120">
        <v>0</v>
      </c>
    </row>
    <row r="35" spans="1:10" ht="11.25" customHeight="1" x14ac:dyDescent="0.2">
      <c r="A35" s="116" t="s">
        <v>125</v>
      </c>
      <c r="B35" s="132" t="s">
        <v>126</v>
      </c>
      <c r="C35" s="120"/>
      <c r="D35" s="120"/>
      <c r="E35" s="120"/>
      <c r="F35" s="120"/>
      <c r="G35" s="120"/>
      <c r="H35" s="120"/>
      <c r="I35" s="120"/>
      <c r="J35" s="120"/>
    </row>
    <row r="36" spans="1:10" ht="11.25" customHeight="1" x14ac:dyDescent="0.2">
      <c r="A36" s="133"/>
      <c r="B36" s="132" t="s">
        <v>127</v>
      </c>
      <c r="C36" s="120"/>
      <c r="D36" s="120"/>
      <c r="E36" s="120"/>
      <c r="F36" s="120"/>
      <c r="G36" s="120"/>
      <c r="H36" s="120"/>
      <c r="I36" s="120"/>
      <c r="J36" s="120"/>
    </row>
    <row r="37" spans="1:10" ht="11.25" customHeight="1" x14ac:dyDescent="0.2">
      <c r="A37" s="133"/>
      <c r="B37" s="132" t="s">
        <v>128</v>
      </c>
      <c r="C37" s="120"/>
      <c r="D37" s="120"/>
      <c r="E37" s="120"/>
      <c r="F37" s="120"/>
      <c r="G37" s="120"/>
      <c r="H37" s="120"/>
      <c r="I37" s="120"/>
      <c r="J37" s="120"/>
    </row>
    <row r="38" spans="1:10" ht="11.25" customHeight="1" x14ac:dyDescent="0.2">
      <c r="A38" s="133"/>
      <c r="B38" s="132" t="s">
        <v>129</v>
      </c>
      <c r="C38" s="120"/>
      <c r="D38" s="120"/>
      <c r="E38" s="120"/>
      <c r="F38" s="120"/>
      <c r="G38" s="120"/>
      <c r="H38" s="120"/>
      <c r="I38" s="120"/>
      <c r="J38" s="120"/>
    </row>
    <row r="39" spans="1:10" ht="11.25" customHeight="1" x14ac:dyDescent="0.2">
      <c r="A39" s="125"/>
      <c r="B39" s="134" t="s">
        <v>130</v>
      </c>
      <c r="C39" s="127">
        <f>SUM(F39)</f>
        <v>425250</v>
      </c>
      <c r="D39" s="127">
        <v>0</v>
      </c>
      <c r="E39" s="127">
        <v>0</v>
      </c>
      <c r="F39" s="127">
        <f>SUM(J39)</f>
        <v>425250</v>
      </c>
      <c r="G39" s="127">
        <v>0</v>
      </c>
      <c r="H39" s="127">
        <v>0</v>
      </c>
      <c r="I39" s="127">
        <v>0</v>
      </c>
      <c r="J39" s="127">
        <v>425250</v>
      </c>
    </row>
    <row r="40" spans="1:10" ht="11.25" customHeight="1" x14ac:dyDescent="0.2">
      <c r="A40" s="116" t="s">
        <v>131</v>
      </c>
      <c r="B40" s="132" t="s">
        <v>126</v>
      </c>
      <c r="C40" s="120"/>
      <c r="D40" s="120"/>
      <c r="E40" s="120"/>
      <c r="F40" s="120"/>
      <c r="G40" s="120"/>
      <c r="H40" s="120"/>
      <c r="I40" s="120"/>
      <c r="J40" s="120"/>
    </row>
    <row r="41" spans="1:10" ht="11.25" customHeight="1" x14ac:dyDescent="0.2">
      <c r="A41" s="133"/>
      <c r="B41" s="132" t="s">
        <v>127</v>
      </c>
      <c r="C41" s="120"/>
      <c r="D41" s="120"/>
      <c r="E41" s="120"/>
      <c r="F41" s="120"/>
      <c r="G41" s="120"/>
      <c r="H41" s="120"/>
      <c r="I41" s="120"/>
      <c r="J41" s="120"/>
    </row>
    <row r="42" spans="1:10" ht="11.25" customHeight="1" x14ac:dyDescent="0.2">
      <c r="A42" s="133"/>
      <c r="B42" s="132" t="s">
        <v>128</v>
      </c>
      <c r="C42" s="120"/>
      <c r="D42" s="120"/>
      <c r="E42" s="120"/>
      <c r="F42" s="120"/>
      <c r="G42" s="120"/>
      <c r="H42" s="120"/>
      <c r="I42" s="120"/>
      <c r="J42" s="120"/>
    </row>
    <row r="43" spans="1:10" ht="11.25" customHeight="1" x14ac:dyDescent="0.2">
      <c r="A43" s="133"/>
      <c r="B43" s="132" t="s">
        <v>129</v>
      </c>
      <c r="C43" s="120"/>
      <c r="D43" s="120"/>
      <c r="E43" s="120"/>
      <c r="F43" s="120"/>
      <c r="G43" s="120"/>
      <c r="H43" s="120"/>
      <c r="I43" s="120"/>
      <c r="J43" s="120"/>
    </row>
    <row r="44" spans="1:10" ht="11.25" customHeight="1" x14ac:dyDescent="0.2">
      <c r="A44" s="133"/>
      <c r="B44" s="135" t="s">
        <v>130</v>
      </c>
      <c r="C44" s="120">
        <f>SUM(F44)</f>
        <v>2409750</v>
      </c>
      <c r="D44" s="120">
        <v>0</v>
      </c>
      <c r="E44" s="120">
        <v>0</v>
      </c>
      <c r="F44" s="120">
        <f>SUM(J44)</f>
        <v>2409750</v>
      </c>
      <c r="G44" s="120">
        <v>0</v>
      </c>
      <c r="H44" s="120">
        <v>0</v>
      </c>
      <c r="I44" s="120">
        <v>0</v>
      </c>
      <c r="J44" s="120">
        <v>2409750</v>
      </c>
    </row>
    <row r="45" spans="1:10" ht="11.25" customHeight="1" x14ac:dyDescent="0.2">
      <c r="A45" s="130" t="s">
        <v>132</v>
      </c>
      <c r="B45" s="121" t="s">
        <v>133</v>
      </c>
      <c r="C45" s="120"/>
      <c r="D45" s="120"/>
      <c r="E45" s="120"/>
      <c r="F45" s="120"/>
      <c r="G45" s="120"/>
      <c r="H45" s="120"/>
      <c r="I45" s="120"/>
      <c r="J45" s="120"/>
    </row>
    <row r="46" spans="1:10" ht="11.25" customHeight="1" x14ac:dyDescent="0.2">
      <c r="A46" s="130"/>
      <c r="B46" s="121" t="s">
        <v>134</v>
      </c>
      <c r="C46" s="120"/>
      <c r="D46" s="120"/>
      <c r="E46" s="120"/>
      <c r="F46" s="120"/>
      <c r="G46" s="120"/>
      <c r="H46" s="120"/>
      <c r="I46" s="120"/>
      <c r="J46" s="120"/>
    </row>
    <row r="47" spans="1:10" ht="11.25" customHeight="1" x14ac:dyDescent="0.2">
      <c r="A47" s="130"/>
      <c r="B47" s="121" t="s">
        <v>135</v>
      </c>
      <c r="C47" s="120"/>
      <c r="D47" s="120"/>
      <c r="E47" s="120"/>
      <c r="F47" s="120"/>
      <c r="G47" s="120"/>
      <c r="H47" s="120"/>
      <c r="I47" s="120"/>
      <c r="J47" s="120"/>
    </row>
    <row r="48" spans="1:10" ht="11.25" customHeight="1" x14ac:dyDescent="0.2">
      <c r="A48" s="130"/>
      <c r="B48" s="121" t="s">
        <v>136</v>
      </c>
      <c r="C48" s="120"/>
      <c r="D48" s="120"/>
      <c r="E48" s="120"/>
      <c r="F48" s="120"/>
      <c r="G48" s="120"/>
      <c r="H48" s="120"/>
      <c r="I48" s="120"/>
      <c r="J48" s="120"/>
    </row>
    <row r="49" spans="1:10" ht="11.25" customHeight="1" x14ac:dyDescent="0.2">
      <c r="A49" s="130"/>
      <c r="B49" s="121" t="s">
        <v>137</v>
      </c>
      <c r="C49" s="120">
        <f>SUM(F49)+D49</f>
        <v>41637500</v>
      </c>
      <c r="D49" s="120">
        <v>0</v>
      </c>
      <c r="E49" s="120">
        <v>0</v>
      </c>
      <c r="F49" s="120">
        <f>SUM(J49)</f>
        <v>41637500</v>
      </c>
      <c r="G49" s="120">
        <v>0</v>
      </c>
      <c r="H49" s="120">
        <v>0</v>
      </c>
      <c r="I49" s="120">
        <v>0</v>
      </c>
      <c r="J49" s="120">
        <v>41637500</v>
      </c>
    </row>
    <row r="50" spans="1:10" ht="11.25" customHeight="1" x14ac:dyDescent="0.2">
      <c r="A50" s="116" t="s">
        <v>138</v>
      </c>
      <c r="B50" s="128" t="s">
        <v>139</v>
      </c>
      <c r="C50" s="129"/>
      <c r="D50" s="135"/>
      <c r="E50" s="135"/>
      <c r="F50" s="135"/>
      <c r="G50" s="135"/>
      <c r="H50" s="135"/>
      <c r="I50" s="135"/>
      <c r="J50" s="135"/>
    </row>
    <row r="51" spans="1:10" ht="11.25" customHeight="1" x14ac:dyDescent="0.2">
      <c r="A51" s="116"/>
      <c r="B51" s="128" t="s">
        <v>140</v>
      </c>
      <c r="C51" s="129"/>
      <c r="D51" s="135"/>
      <c r="E51" s="135"/>
      <c r="F51" s="135"/>
      <c r="G51" s="135"/>
      <c r="H51" s="135"/>
      <c r="I51" s="135"/>
      <c r="J51" s="135"/>
    </row>
    <row r="52" spans="1:10" ht="11.25" customHeight="1" x14ac:dyDescent="0.2">
      <c r="A52" s="116"/>
      <c r="B52" s="128" t="s">
        <v>141</v>
      </c>
      <c r="C52" s="129"/>
      <c r="D52" s="135"/>
      <c r="E52" s="135"/>
      <c r="F52" s="135"/>
      <c r="G52" s="135"/>
      <c r="H52" s="135"/>
      <c r="I52" s="135"/>
      <c r="J52" s="135"/>
    </row>
    <row r="53" spans="1:10" ht="11.25" customHeight="1" x14ac:dyDescent="0.2">
      <c r="A53" s="116"/>
      <c r="B53" s="128" t="s">
        <v>142</v>
      </c>
      <c r="C53" s="129"/>
      <c r="D53" s="135"/>
      <c r="E53" s="135"/>
      <c r="F53" s="135"/>
      <c r="G53" s="135"/>
      <c r="H53" s="135"/>
      <c r="I53" s="135"/>
      <c r="J53" s="135"/>
    </row>
    <row r="54" spans="1:10" ht="11.25" customHeight="1" x14ac:dyDescent="0.2">
      <c r="A54" s="116"/>
      <c r="B54" s="128" t="s">
        <v>143</v>
      </c>
      <c r="C54" s="120">
        <f>SUM(F54,D54)</f>
        <v>24757984.949999999</v>
      </c>
      <c r="D54" s="120">
        <f>SUM(G54,E54)</f>
        <v>0</v>
      </c>
      <c r="E54" s="120">
        <v>0</v>
      </c>
      <c r="F54" s="117">
        <f>SUM(G54:J54)</f>
        <v>24757984.949999999</v>
      </c>
      <c r="G54" s="117">
        <v>0</v>
      </c>
      <c r="H54" s="117">
        <v>0</v>
      </c>
      <c r="I54" s="117">
        <v>0</v>
      </c>
      <c r="J54" s="117">
        <f>9595843.8+12838621.38+2323519.77</f>
        <v>24757984.949999999</v>
      </c>
    </row>
    <row r="55" spans="1:10" ht="11.25" customHeight="1" x14ac:dyDescent="0.2">
      <c r="A55" s="125" t="s">
        <v>144</v>
      </c>
      <c r="B55" s="105" t="s">
        <v>145</v>
      </c>
      <c r="C55" s="127">
        <f t="shared" ref="C55:J55" si="7">SUM(C56:C79)</f>
        <v>23620943.509999998</v>
      </c>
      <c r="D55" s="127">
        <f t="shared" si="7"/>
        <v>1819150</v>
      </c>
      <c r="E55" s="127">
        <f t="shared" si="7"/>
        <v>0</v>
      </c>
      <c r="F55" s="127">
        <f t="shared" si="7"/>
        <v>21801793.509999998</v>
      </c>
      <c r="G55" s="127">
        <f t="shared" si="7"/>
        <v>6359326.4199999999</v>
      </c>
      <c r="H55" s="127">
        <f t="shared" si="7"/>
        <v>0</v>
      </c>
      <c r="I55" s="127">
        <f t="shared" si="7"/>
        <v>0</v>
      </c>
      <c r="J55" s="127">
        <f t="shared" si="7"/>
        <v>15442467.09</v>
      </c>
    </row>
    <row r="56" spans="1:10" ht="11.25" customHeight="1" x14ac:dyDescent="0.2">
      <c r="A56" s="136" t="s">
        <v>146</v>
      </c>
      <c r="B56" s="121" t="s">
        <v>147</v>
      </c>
      <c r="C56" s="120"/>
      <c r="D56" s="120"/>
      <c r="E56" s="120"/>
      <c r="F56" s="120"/>
      <c r="G56" s="120"/>
      <c r="H56" s="120"/>
      <c r="I56" s="120"/>
      <c r="J56" s="120"/>
    </row>
    <row r="57" spans="1:10" ht="11.25" customHeight="1" x14ac:dyDescent="0.2">
      <c r="A57" s="133"/>
      <c r="B57" s="121" t="s">
        <v>148</v>
      </c>
      <c r="C57" s="120">
        <f>SUM(D57)</f>
        <v>650</v>
      </c>
      <c r="D57" s="120">
        <v>650</v>
      </c>
      <c r="E57" s="120">
        <v>0</v>
      </c>
      <c r="F57" s="120">
        <v>0</v>
      </c>
      <c r="G57" s="120">
        <v>0</v>
      </c>
      <c r="H57" s="120">
        <v>0</v>
      </c>
      <c r="I57" s="120">
        <v>0</v>
      </c>
      <c r="J57" s="120">
        <v>0</v>
      </c>
    </row>
    <row r="58" spans="1:10" ht="11.25" customHeight="1" x14ac:dyDescent="0.2">
      <c r="A58" s="116" t="s">
        <v>149</v>
      </c>
      <c r="B58" s="137" t="s">
        <v>150</v>
      </c>
      <c r="C58" s="120"/>
      <c r="D58" s="120"/>
      <c r="E58" s="120"/>
      <c r="F58" s="120"/>
      <c r="G58" s="120"/>
      <c r="H58" s="120"/>
      <c r="I58" s="120"/>
      <c r="J58" s="120"/>
    </row>
    <row r="59" spans="1:10" ht="11.25" customHeight="1" x14ac:dyDescent="0.2">
      <c r="A59" s="116"/>
      <c r="B59" s="137" t="s">
        <v>151</v>
      </c>
      <c r="C59" s="120">
        <f>SUM(D59)</f>
        <v>1800000</v>
      </c>
      <c r="D59" s="120">
        <v>1800000</v>
      </c>
      <c r="E59" s="120">
        <v>0</v>
      </c>
      <c r="F59" s="120">
        <v>0</v>
      </c>
      <c r="G59" s="120">
        <v>0</v>
      </c>
      <c r="H59" s="120">
        <v>0</v>
      </c>
      <c r="I59" s="120">
        <v>0</v>
      </c>
      <c r="J59" s="120">
        <v>0</v>
      </c>
    </row>
    <row r="60" spans="1:10" ht="9.75" customHeight="1" x14ac:dyDescent="0.2">
      <c r="A60" s="116" t="s">
        <v>152</v>
      </c>
      <c r="B60" s="121" t="s">
        <v>153</v>
      </c>
      <c r="C60" s="120"/>
      <c r="D60" s="120"/>
      <c r="E60" s="120"/>
      <c r="F60" s="120"/>
      <c r="G60" s="120"/>
      <c r="H60" s="120"/>
      <c r="I60" s="120"/>
      <c r="J60" s="120"/>
    </row>
    <row r="61" spans="1:10" ht="10.5" customHeight="1" x14ac:dyDescent="0.2">
      <c r="A61" s="133"/>
      <c r="B61" s="121" t="s">
        <v>154</v>
      </c>
      <c r="C61" s="120">
        <f>SUM(D61)</f>
        <v>1800</v>
      </c>
      <c r="D61" s="120">
        <v>1800</v>
      </c>
      <c r="E61" s="120">
        <v>0</v>
      </c>
      <c r="F61" s="120">
        <v>0</v>
      </c>
      <c r="G61" s="120">
        <v>0</v>
      </c>
      <c r="H61" s="120">
        <v>0</v>
      </c>
      <c r="I61" s="120">
        <v>0</v>
      </c>
      <c r="J61" s="120">
        <v>0</v>
      </c>
    </row>
    <row r="62" spans="1:10" ht="10.5" customHeight="1" x14ac:dyDescent="0.2">
      <c r="A62" s="116" t="s">
        <v>115</v>
      </c>
      <c r="B62" s="128" t="s">
        <v>116</v>
      </c>
      <c r="C62" s="120">
        <f>SUM(D62)</f>
        <v>2200</v>
      </c>
      <c r="D62" s="120">
        <v>2200</v>
      </c>
      <c r="E62" s="120">
        <v>0</v>
      </c>
      <c r="F62" s="120">
        <v>0</v>
      </c>
      <c r="G62" s="120">
        <v>0</v>
      </c>
      <c r="H62" s="120">
        <v>0</v>
      </c>
      <c r="I62" s="120">
        <v>0</v>
      </c>
      <c r="J62" s="120">
        <v>0</v>
      </c>
    </row>
    <row r="63" spans="1:10" ht="9.75" customHeight="1" x14ac:dyDescent="0.2">
      <c r="A63" s="116" t="s">
        <v>119</v>
      </c>
      <c r="B63" s="138" t="s">
        <v>120</v>
      </c>
      <c r="C63" s="120">
        <f>SUM(D63)</f>
        <v>12000</v>
      </c>
      <c r="D63" s="120">
        <v>12000</v>
      </c>
      <c r="E63" s="120">
        <v>0</v>
      </c>
      <c r="F63" s="120">
        <v>0</v>
      </c>
      <c r="G63" s="120">
        <v>0</v>
      </c>
      <c r="H63" s="120">
        <v>0</v>
      </c>
      <c r="I63" s="120">
        <v>0</v>
      </c>
      <c r="J63" s="120">
        <v>0</v>
      </c>
    </row>
    <row r="64" spans="1:10" ht="44.25" customHeight="1" x14ac:dyDescent="0.2">
      <c r="A64" s="130" t="s">
        <v>155</v>
      </c>
      <c r="B64" s="131" t="s">
        <v>156</v>
      </c>
      <c r="C64" s="120">
        <f>SUM(D64)</f>
        <v>2500</v>
      </c>
      <c r="D64" s="120">
        <v>2500</v>
      </c>
      <c r="E64" s="120">
        <v>0</v>
      </c>
      <c r="F64" s="120">
        <v>0</v>
      </c>
      <c r="G64" s="120">
        <v>0</v>
      </c>
      <c r="H64" s="120">
        <v>0</v>
      </c>
      <c r="I64" s="120">
        <v>0</v>
      </c>
      <c r="J64" s="120">
        <v>0</v>
      </c>
    </row>
    <row r="65" spans="1:10" ht="9.75" customHeight="1" x14ac:dyDescent="0.2">
      <c r="A65" s="116" t="s">
        <v>125</v>
      </c>
      <c r="B65" s="132" t="s">
        <v>126</v>
      </c>
      <c r="C65" s="120"/>
      <c r="D65" s="120"/>
      <c r="E65" s="120"/>
      <c r="F65" s="120"/>
      <c r="G65" s="120"/>
      <c r="H65" s="120"/>
      <c r="I65" s="120"/>
      <c r="J65" s="120"/>
    </row>
    <row r="66" spans="1:10" ht="9.75" customHeight="1" x14ac:dyDescent="0.2">
      <c r="A66" s="133"/>
      <c r="B66" s="132" t="s">
        <v>127</v>
      </c>
      <c r="C66" s="120"/>
      <c r="D66" s="120"/>
      <c r="E66" s="120"/>
      <c r="F66" s="120"/>
      <c r="G66" s="120"/>
      <c r="H66" s="120"/>
      <c r="I66" s="120"/>
      <c r="J66" s="120"/>
    </row>
    <row r="67" spans="1:10" ht="10.5" customHeight="1" x14ac:dyDescent="0.2">
      <c r="A67" s="133"/>
      <c r="B67" s="132" t="s">
        <v>128</v>
      </c>
      <c r="C67" s="120"/>
      <c r="D67" s="120"/>
      <c r="E67" s="120"/>
      <c r="F67" s="120"/>
      <c r="G67" s="120"/>
      <c r="H67" s="120"/>
      <c r="I67" s="120"/>
      <c r="J67" s="120"/>
    </row>
    <row r="68" spans="1:10" ht="9.75" customHeight="1" x14ac:dyDescent="0.2">
      <c r="A68" s="133"/>
      <c r="B68" s="132" t="s">
        <v>129</v>
      </c>
      <c r="C68" s="120"/>
      <c r="D68" s="120"/>
      <c r="E68" s="120"/>
      <c r="F68" s="120"/>
      <c r="G68" s="120"/>
      <c r="H68" s="120"/>
      <c r="I68" s="120"/>
      <c r="J68" s="120"/>
    </row>
    <row r="69" spans="1:10" ht="9.75" customHeight="1" x14ac:dyDescent="0.2">
      <c r="A69" s="133"/>
      <c r="B69" s="135" t="s">
        <v>130</v>
      </c>
      <c r="C69" s="120">
        <f>SUM(F69)</f>
        <v>2252077.06</v>
      </c>
      <c r="D69" s="120">
        <v>0</v>
      </c>
      <c r="E69" s="120">
        <v>0</v>
      </c>
      <c r="F69" s="120">
        <f>SUM(J69)</f>
        <v>2252077.06</v>
      </c>
      <c r="G69" s="120">
        <v>0</v>
      </c>
      <c r="H69" s="120">
        <v>0</v>
      </c>
      <c r="I69" s="120">
        <v>0</v>
      </c>
      <c r="J69" s="120">
        <v>2252077.06</v>
      </c>
    </row>
    <row r="70" spans="1:10" ht="9.75" customHeight="1" x14ac:dyDescent="0.2">
      <c r="A70" s="116" t="s">
        <v>131</v>
      </c>
      <c r="B70" s="132" t="s">
        <v>126</v>
      </c>
      <c r="C70" s="120"/>
      <c r="D70" s="120"/>
      <c r="E70" s="120"/>
      <c r="F70" s="120"/>
      <c r="G70" s="120"/>
      <c r="H70" s="120"/>
      <c r="I70" s="120"/>
      <c r="J70" s="120"/>
    </row>
    <row r="71" spans="1:10" ht="10.5" customHeight="1" x14ac:dyDescent="0.2">
      <c r="A71" s="133"/>
      <c r="B71" s="132" t="s">
        <v>127</v>
      </c>
      <c r="C71" s="120"/>
      <c r="D71" s="120"/>
      <c r="E71" s="120"/>
      <c r="F71" s="120"/>
      <c r="G71" s="120"/>
      <c r="H71" s="120"/>
      <c r="I71" s="120"/>
      <c r="J71" s="120"/>
    </row>
    <row r="72" spans="1:10" ht="10.5" customHeight="1" x14ac:dyDescent="0.2">
      <c r="A72" s="133"/>
      <c r="B72" s="132" t="s">
        <v>128</v>
      </c>
      <c r="C72" s="120"/>
      <c r="D72" s="120"/>
      <c r="E72" s="120"/>
      <c r="F72" s="120"/>
      <c r="G72" s="120"/>
      <c r="H72" s="120"/>
      <c r="I72" s="120"/>
      <c r="J72" s="120"/>
    </row>
    <row r="73" spans="1:10" ht="10.5" customHeight="1" x14ac:dyDescent="0.2">
      <c r="A73" s="133"/>
      <c r="B73" s="132" t="s">
        <v>129</v>
      </c>
      <c r="C73" s="120"/>
      <c r="D73" s="120"/>
      <c r="E73" s="120"/>
      <c r="F73" s="120"/>
      <c r="G73" s="120"/>
      <c r="H73" s="120"/>
      <c r="I73" s="120"/>
      <c r="J73" s="120"/>
    </row>
    <row r="74" spans="1:10" ht="11.25" customHeight="1" x14ac:dyDescent="0.2">
      <c r="A74" s="125"/>
      <c r="B74" s="134" t="s">
        <v>130</v>
      </c>
      <c r="C74" s="127">
        <f>SUM(F74)</f>
        <v>12761770.029999999</v>
      </c>
      <c r="D74" s="127">
        <v>0</v>
      </c>
      <c r="E74" s="127">
        <v>0</v>
      </c>
      <c r="F74" s="127">
        <f>SUM(J74)</f>
        <v>12761770.029999999</v>
      </c>
      <c r="G74" s="127">
        <v>0</v>
      </c>
      <c r="H74" s="127">
        <v>0</v>
      </c>
      <c r="I74" s="127">
        <v>0</v>
      </c>
      <c r="J74" s="127">
        <v>12761770.029999999</v>
      </c>
    </row>
    <row r="75" spans="1:10" ht="56.25" customHeight="1" x14ac:dyDescent="0.2">
      <c r="A75" s="130" t="s">
        <v>138</v>
      </c>
      <c r="B75" s="139" t="s">
        <v>157</v>
      </c>
      <c r="C75" s="120">
        <f>SUM(F75)</f>
        <v>428620</v>
      </c>
      <c r="D75" s="120">
        <v>0</v>
      </c>
      <c r="E75" s="120">
        <v>0</v>
      </c>
      <c r="F75" s="120">
        <f>SUM(J75)</f>
        <v>428620</v>
      </c>
      <c r="G75" s="120">
        <v>0</v>
      </c>
      <c r="H75" s="120">
        <v>0</v>
      </c>
      <c r="I75" s="120">
        <v>0</v>
      </c>
      <c r="J75" s="120">
        <v>428620</v>
      </c>
    </row>
    <row r="76" spans="1:10" ht="11.25" customHeight="1" x14ac:dyDescent="0.2">
      <c r="A76" s="116" t="s">
        <v>158</v>
      </c>
      <c r="B76" s="121" t="s">
        <v>159</v>
      </c>
      <c r="C76" s="120"/>
      <c r="D76" s="120"/>
      <c r="E76" s="120"/>
      <c r="F76" s="120"/>
      <c r="G76" s="120"/>
      <c r="H76" s="129"/>
      <c r="I76" s="129"/>
      <c r="J76" s="129"/>
    </row>
    <row r="77" spans="1:10" ht="11.25" customHeight="1" x14ac:dyDescent="0.2">
      <c r="A77" s="116"/>
      <c r="B77" s="121" t="s">
        <v>160</v>
      </c>
      <c r="C77" s="120"/>
      <c r="D77" s="120"/>
      <c r="E77" s="120"/>
      <c r="F77" s="120"/>
      <c r="G77" s="120"/>
      <c r="H77" s="129"/>
      <c r="I77" s="129"/>
      <c r="J77" s="129"/>
    </row>
    <row r="78" spans="1:10" ht="11.25" customHeight="1" x14ac:dyDescent="0.2">
      <c r="A78" s="116"/>
      <c r="B78" s="121" t="s">
        <v>161</v>
      </c>
      <c r="C78" s="120"/>
      <c r="D78" s="120"/>
      <c r="E78" s="120"/>
      <c r="F78" s="120"/>
      <c r="G78" s="120"/>
      <c r="H78" s="129"/>
      <c r="I78" s="129"/>
      <c r="J78" s="129"/>
    </row>
    <row r="79" spans="1:10" ht="11.25" customHeight="1" x14ac:dyDescent="0.2">
      <c r="A79" s="116"/>
      <c r="B79" s="121" t="s">
        <v>162</v>
      </c>
      <c r="C79" s="120">
        <f>SUM(F79)</f>
        <v>6359326.4199999999</v>
      </c>
      <c r="D79" s="120">
        <v>0</v>
      </c>
      <c r="E79" s="120">
        <v>0</v>
      </c>
      <c r="F79" s="120">
        <f>SUM(G79)</f>
        <v>6359326.4199999999</v>
      </c>
      <c r="G79" s="120">
        <f>3359326.42+3000000</f>
        <v>6359326.4199999999</v>
      </c>
      <c r="H79" s="140">
        <v>0</v>
      </c>
      <c r="I79" s="140">
        <v>0</v>
      </c>
      <c r="J79" s="140">
        <v>0</v>
      </c>
    </row>
    <row r="80" spans="1:10" ht="11.25" customHeight="1" x14ac:dyDescent="0.2">
      <c r="A80" s="125" t="s">
        <v>163</v>
      </c>
      <c r="B80" s="105" t="s">
        <v>164</v>
      </c>
      <c r="C80" s="127">
        <f>SUM(C82:C85)</f>
        <v>175050</v>
      </c>
      <c r="D80" s="127">
        <f t="shared" ref="D80:J80" si="8">SUM(D82:D85)</f>
        <v>175050</v>
      </c>
      <c r="E80" s="127">
        <f t="shared" si="8"/>
        <v>0</v>
      </c>
      <c r="F80" s="127">
        <f t="shared" si="8"/>
        <v>0</v>
      </c>
      <c r="G80" s="127">
        <f t="shared" si="8"/>
        <v>0</v>
      </c>
      <c r="H80" s="127">
        <f t="shared" si="8"/>
        <v>0</v>
      </c>
      <c r="I80" s="127">
        <f t="shared" si="8"/>
        <v>0</v>
      </c>
      <c r="J80" s="127">
        <f t="shared" si="8"/>
        <v>0</v>
      </c>
    </row>
    <row r="81" spans="1:10" ht="11.25" customHeight="1" x14ac:dyDescent="0.2">
      <c r="A81" s="116" t="s">
        <v>149</v>
      </c>
      <c r="B81" s="137" t="s">
        <v>150</v>
      </c>
      <c r="C81" s="120"/>
      <c r="D81" s="120"/>
      <c r="E81" s="120"/>
      <c r="F81" s="120"/>
      <c r="G81" s="120"/>
      <c r="H81" s="129"/>
      <c r="I81" s="129"/>
      <c r="J81" s="129"/>
    </row>
    <row r="82" spans="1:10" ht="11.25" customHeight="1" x14ac:dyDescent="0.2">
      <c r="A82" s="116"/>
      <c r="B82" s="137" t="s">
        <v>151</v>
      </c>
      <c r="C82" s="120">
        <f>SUM(D82)</f>
        <v>174900</v>
      </c>
      <c r="D82" s="120">
        <v>174900</v>
      </c>
      <c r="E82" s="120">
        <v>0</v>
      </c>
      <c r="F82" s="120">
        <v>0</v>
      </c>
      <c r="G82" s="120">
        <v>0</v>
      </c>
      <c r="H82" s="120">
        <v>0</v>
      </c>
      <c r="I82" s="120">
        <v>0</v>
      </c>
      <c r="J82" s="120">
        <v>0</v>
      </c>
    </row>
    <row r="83" spans="1:10" ht="11.25" customHeight="1" x14ac:dyDescent="0.2">
      <c r="A83" s="116" t="s">
        <v>152</v>
      </c>
      <c r="B83" s="121" t="s">
        <v>153</v>
      </c>
      <c r="C83" s="120"/>
      <c r="D83" s="120"/>
      <c r="E83" s="120"/>
      <c r="F83" s="120"/>
      <c r="G83" s="120"/>
      <c r="H83" s="129"/>
      <c r="I83" s="129"/>
      <c r="J83" s="129"/>
    </row>
    <row r="84" spans="1:10" ht="11.25" customHeight="1" x14ac:dyDescent="0.2">
      <c r="A84" s="116"/>
      <c r="B84" s="121" t="s">
        <v>154</v>
      </c>
      <c r="C84" s="120">
        <f>SUM(D84)</f>
        <v>50</v>
      </c>
      <c r="D84" s="120">
        <v>50</v>
      </c>
      <c r="E84" s="120">
        <v>0</v>
      </c>
      <c r="F84" s="120">
        <v>0</v>
      </c>
      <c r="G84" s="120">
        <v>0</v>
      </c>
      <c r="H84" s="120">
        <v>0</v>
      </c>
      <c r="I84" s="120">
        <v>0</v>
      </c>
      <c r="J84" s="120">
        <v>0</v>
      </c>
    </row>
    <row r="85" spans="1:10" ht="11.25" customHeight="1" x14ac:dyDescent="0.2">
      <c r="A85" s="116" t="s">
        <v>115</v>
      </c>
      <c r="B85" s="128" t="s">
        <v>116</v>
      </c>
      <c r="C85" s="120">
        <f>SUM(D85)</f>
        <v>100</v>
      </c>
      <c r="D85" s="120">
        <v>100</v>
      </c>
      <c r="E85" s="120"/>
      <c r="F85" s="120"/>
      <c r="G85" s="120"/>
      <c r="H85" s="120"/>
      <c r="I85" s="120"/>
      <c r="J85" s="120"/>
    </row>
    <row r="86" spans="1:10" ht="11.25" customHeight="1" x14ac:dyDescent="0.2">
      <c r="A86" s="125" t="s">
        <v>165</v>
      </c>
      <c r="B86" s="126" t="s">
        <v>166</v>
      </c>
      <c r="C86" s="127">
        <f>SUM(C87:C92)</f>
        <v>3422790</v>
      </c>
      <c r="D86" s="127">
        <f t="shared" ref="D86:J86" si="9">SUM(D87:D92)</f>
        <v>3422790</v>
      </c>
      <c r="E86" s="127">
        <f t="shared" si="9"/>
        <v>0</v>
      </c>
      <c r="F86" s="127">
        <f t="shared" si="9"/>
        <v>0</v>
      </c>
      <c r="G86" s="127">
        <f t="shared" si="9"/>
        <v>0</v>
      </c>
      <c r="H86" s="127">
        <f t="shared" si="9"/>
        <v>0</v>
      </c>
      <c r="I86" s="127">
        <f t="shared" si="9"/>
        <v>0</v>
      </c>
      <c r="J86" s="127">
        <f t="shared" si="9"/>
        <v>0</v>
      </c>
    </row>
    <row r="87" spans="1:10" ht="11.25" customHeight="1" x14ac:dyDescent="0.2">
      <c r="A87" s="116" t="s">
        <v>167</v>
      </c>
      <c r="B87" s="121" t="s">
        <v>168</v>
      </c>
      <c r="C87" s="120"/>
      <c r="D87" s="120"/>
      <c r="E87" s="120"/>
      <c r="F87" s="120"/>
      <c r="G87" s="120"/>
      <c r="H87" s="129"/>
      <c r="I87" s="129"/>
      <c r="J87" s="129"/>
    </row>
    <row r="88" spans="1:10" ht="11.25" customHeight="1" x14ac:dyDescent="0.2">
      <c r="A88" s="133"/>
      <c r="B88" s="121" t="s">
        <v>169</v>
      </c>
      <c r="C88" s="120">
        <f>SUM(D88)</f>
        <v>3400000</v>
      </c>
      <c r="D88" s="120">
        <f>2600000+800000</f>
        <v>3400000</v>
      </c>
      <c r="E88" s="120">
        <v>0</v>
      </c>
      <c r="F88" s="120">
        <v>0</v>
      </c>
      <c r="G88" s="120">
        <v>0</v>
      </c>
      <c r="H88" s="120">
        <v>0</v>
      </c>
      <c r="I88" s="120">
        <v>0</v>
      </c>
      <c r="J88" s="120">
        <v>0</v>
      </c>
    </row>
    <row r="89" spans="1:10" ht="11.25" customHeight="1" x14ac:dyDescent="0.2">
      <c r="A89" s="116" t="s">
        <v>152</v>
      </c>
      <c r="B89" s="121" t="s">
        <v>153</v>
      </c>
      <c r="C89" s="120"/>
      <c r="D89" s="120"/>
      <c r="E89" s="120"/>
      <c r="F89" s="120"/>
      <c r="G89" s="120"/>
      <c r="H89" s="129"/>
      <c r="I89" s="129"/>
      <c r="J89" s="129"/>
    </row>
    <row r="90" spans="1:10" ht="11.25" customHeight="1" x14ac:dyDescent="0.2">
      <c r="A90" s="133"/>
      <c r="B90" s="121" t="s">
        <v>154</v>
      </c>
      <c r="C90" s="120">
        <f>SUM(D90)</f>
        <v>22000</v>
      </c>
      <c r="D90" s="120">
        <v>22000</v>
      </c>
      <c r="E90" s="120">
        <v>0</v>
      </c>
      <c r="F90" s="120">
        <v>0</v>
      </c>
      <c r="G90" s="120">
        <v>0</v>
      </c>
      <c r="H90" s="120">
        <v>0</v>
      </c>
      <c r="I90" s="120">
        <v>0</v>
      </c>
      <c r="J90" s="120">
        <v>0</v>
      </c>
    </row>
    <row r="91" spans="1:10" ht="11.25" customHeight="1" x14ac:dyDescent="0.2">
      <c r="A91" s="116" t="s">
        <v>97</v>
      </c>
      <c r="B91" s="121" t="s">
        <v>98</v>
      </c>
      <c r="C91" s="120">
        <f>SUM(D91)</f>
        <v>20</v>
      </c>
      <c r="D91" s="120">
        <v>20</v>
      </c>
      <c r="E91" s="120">
        <v>0</v>
      </c>
      <c r="F91" s="120">
        <v>0</v>
      </c>
      <c r="G91" s="120">
        <v>0</v>
      </c>
      <c r="H91" s="120">
        <v>0</v>
      </c>
      <c r="I91" s="120">
        <v>0</v>
      </c>
      <c r="J91" s="120">
        <v>0</v>
      </c>
    </row>
    <row r="92" spans="1:10" ht="11.25" customHeight="1" x14ac:dyDescent="0.2">
      <c r="A92" s="116" t="s">
        <v>115</v>
      </c>
      <c r="B92" s="128" t="s">
        <v>116</v>
      </c>
      <c r="C92" s="120">
        <f>SUM(D92)</f>
        <v>770</v>
      </c>
      <c r="D92" s="120">
        <v>770</v>
      </c>
      <c r="E92" s="120">
        <v>0</v>
      </c>
      <c r="F92" s="120">
        <v>0</v>
      </c>
      <c r="G92" s="120">
        <v>0</v>
      </c>
      <c r="H92" s="120">
        <v>0</v>
      </c>
      <c r="I92" s="120">
        <v>0</v>
      </c>
      <c r="J92" s="120">
        <v>0</v>
      </c>
    </row>
    <row r="93" spans="1:10" s="141" customFormat="1" ht="11.25" customHeight="1" x14ac:dyDescent="0.2">
      <c r="A93" s="125" t="s">
        <v>170</v>
      </c>
      <c r="B93" s="126" t="s">
        <v>96</v>
      </c>
      <c r="C93" s="127">
        <f t="shared" ref="C93:J93" si="10">SUM(C94:C95)</f>
        <v>4550</v>
      </c>
      <c r="D93" s="127">
        <f t="shared" si="10"/>
        <v>4550</v>
      </c>
      <c r="E93" s="127">
        <f t="shared" si="10"/>
        <v>0</v>
      </c>
      <c r="F93" s="127">
        <f t="shared" si="10"/>
        <v>0</v>
      </c>
      <c r="G93" s="127">
        <f t="shared" si="10"/>
        <v>0</v>
      </c>
      <c r="H93" s="127">
        <f t="shared" si="10"/>
        <v>0</v>
      </c>
      <c r="I93" s="127">
        <f t="shared" si="10"/>
        <v>0</v>
      </c>
      <c r="J93" s="127">
        <f t="shared" si="10"/>
        <v>0</v>
      </c>
    </row>
    <row r="94" spans="1:10" ht="11.25" customHeight="1" x14ac:dyDescent="0.2">
      <c r="A94" s="116" t="s">
        <v>115</v>
      </c>
      <c r="B94" s="128" t="s">
        <v>116</v>
      </c>
      <c r="C94" s="120">
        <f>SUM(D94:F94)</f>
        <v>3800</v>
      </c>
      <c r="D94" s="120">
        <v>3800</v>
      </c>
      <c r="E94" s="120">
        <v>0</v>
      </c>
      <c r="F94" s="120">
        <v>0</v>
      </c>
      <c r="G94" s="120">
        <v>0</v>
      </c>
      <c r="H94" s="120">
        <v>0</v>
      </c>
      <c r="I94" s="120">
        <v>0</v>
      </c>
      <c r="J94" s="120">
        <v>0</v>
      </c>
    </row>
    <row r="95" spans="1:10" ht="11.25" customHeight="1" x14ac:dyDescent="0.2">
      <c r="A95" s="116" t="s">
        <v>117</v>
      </c>
      <c r="B95" s="128" t="s">
        <v>118</v>
      </c>
      <c r="C95" s="120">
        <f>SUM(D95:F95)</f>
        <v>750</v>
      </c>
      <c r="D95" s="120">
        <v>750</v>
      </c>
      <c r="E95" s="120">
        <v>0</v>
      </c>
      <c r="F95" s="120">
        <v>0</v>
      </c>
      <c r="G95" s="120">
        <v>0</v>
      </c>
      <c r="H95" s="120">
        <v>0</v>
      </c>
      <c r="I95" s="120">
        <v>0</v>
      </c>
      <c r="J95" s="120">
        <v>0</v>
      </c>
    </row>
    <row r="96" spans="1:10" ht="11.25" customHeight="1" thickBot="1" x14ac:dyDescent="0.25">
      <c r="A96" s="122" t="s">
        <v>26</v>
      </c>
      <c r="B96" s="124" t="s">
        <v>27</v>
      </c>
      <c r="C96" s="112">
        <f t="shared" ref="C96:J96" si="11">SUM(C97)</f>
        <v>532587</v>
      </c>
      <c r="D96" s="112">
        <f t="shared" si="11"/>
        <v>532587</v>
      </c>
      <c r="E96" s="112">
        <f t="shared" si="11"/>
        <v>0</v>
      </c>
      <c r="F96" s="112">
        <f t="shared" si="11"/>
        <v>0</v>
      </c>
      <c r="G96" s="112">
        <f t="shared" si="11"/>
        <v>0</v>
      </c>
      <c r="H96" s="112">
        <f t="shared" si="11"/>
        <v>0</v>
      </c>
      <c r="I96" s="112">
        <f t="shared" si="11"/>
        <v>0</v>
      </c>
      <c r="J96" s="112">
        <f t="shared" si="11"/>
        <v>0</v>
      </c>
    </row>
    <row r="97" spans="1:10" ht="11.25" customHeight="1" thickTop="1" x14ac:dyDescent="0.2">
      <c r="A97" s="106">
        <v>63003</v>
      </c>
      <c r="B97" s="142" t="s">
        <v>171</v>
      </c>
      <c r="C97" s="127">
        <f>SUM(C98:C105)</f>
        <v>532587</v>
      </c>
      <c r="D97" s="127">
        <f>SUM(D98:D105)</f>
        <v>532587</v>
      </c>
      <c r="E97" s="127">
        <f t="shared" ref="E97:J97" si="12">SUM(E98:E105)</f>
        <v>0</v>
      </c>
      <c r="F97" s="127">
        <f t="shared" si="12"/>
        <v>0</v>
      </c>
      <c r="G97" s="127">
        <f t="shared" si="12"/>
        <v>0</v>
      </c>
      <c r="H97" s="127">
        <f t="shared" si="12"/>
        <v>0</v>
      </c>
      <c r="I97" s="127">
        <f t="shared" si="12"/>
        <v>0</v>
      </c>
      <c r="J97" s="127">
        <f t="shared" si="12"/>
        <v>0</v>
      </c>
    </row>
    <row r="98" spans="1:10" ht="11.25" customHeight="1" x14ac:dyDescent="0.2">
      <c r="A98" s="116" t="s">
        <v>99</v>
      </c>
      <c r="B98" s="121" t="s">
        <v>172</v>
      </c>
      <c r="C98" s="117"/>
      <c r="D98" s="117"/>
      <c r="E98" s="117"/>
      <c r="F98" s="135"/>
      <c r="G98" s="135"/>
      <c r="H98" s="135"/>
      <c r="I98" s="135"/>
      <c r="J98" s="135"/>
    </row>
    <row r="99" spans="1:10" ht="11.25" customHeight="1" x14ac:dyDescent="0.2">
      <c r="A99" s="143"/>
      <c r="B99" s="121" t="s">
        <v>173</v>
      </c>
      <c r="C99" s="117"/>
      <c r="D99" s="117"/>
      <c r="E99" s="117"/>
      <c r="F99" s="135"/>
      <c r="G99" s="135"/>
      <c r="H99" s="135"/>
      <c r="I99" s="135"/>
      <c r="J99" s="135"/>
    </row>
    <row r="100" spans="1:10" ht="11.25" customHeight="1" x14ac:dyDescent="0.2">
      <c r="A100" s="143"/>
      <c r="B100" s="121" t="s">
        <v>174</v>
      </c>
      <c r="C100" s="117"/>
      <c r="D100" s="117"/>
      <c r="E100" s="117"/>
      <c r="F100" s="135"/>
      <c r="G100" s="135"/>
      <c r="H100" s="135"/>
      <c r="I100" s="135"/>
      <c r="J100" s="135"/>
    </row>
    <row r="101" spans="1:10" ht="11.25" customHeight="1" x14ac:dyDescent="0.2">
      <c r="A101" s="143"/>
      <c r="B101" s="121" t="s">
        <v>175</v>
      </c>
      <c r="C101" s="120">
        <f>SUM(D101,F101)</f>
        <v>187919</v>
      </c>
      <c r="D101" s="117">
        <v>187919</v>
      </c>
      <c r="E101" s="117">
        <v>0</v>
      </c>
      <c r="F101" s="117">
        <v>0</v>
      </c>
      <c r="G101" s="117">
        <v>0</v>
      </c>
      <c r="H101" s="117">
        <v>0</v>
      </c>
      <c r="I101" s="117">
        <v>0</v>
      </c>
      <c r="J101" s="117">
        <v>0</v>
      </c>
    </row>
    <row r="102" spans="1:10" ht="11.25" customHeight="1" x14ac:dyDescent="0.2">
      <c r="A102" s="116" t="s">
        <v>113</v>
      </c>
      <c r="B102" s="121" t="s">
        <v>114</v>
      </c>
      <c r="C102" s="120">
        <f>SUM(D102)</f>
        <v>344444</v>
      </c>
      <c r="D102" s="117">
        <v>344444</v>
      </c>
      <c r="E102" s="117">
        <v>0</v>
      </c>
      <c r="F102" s="117">
        <v>0</v>
      </c>
      <c r="G102" s="117">
        <v>0</v>
      </c>
      <c r="H102" s="117">
        <v>0</v>
      </c>
      <c r="I102" s="117">
        <v>0</v>
      </c>
      <c r="J102" s="117">
        <v>0</v>
      </c>
    </row>
    <row r="103" spans="1:10" ht="11.25" customHeight="1" x14ac:dyDescent="0.2">
      <c r="A103" s="116" t="s">
        <v>115</v>
      </c>
      <c r="B103" s="128" t="s">
        <v>116</v>
      </c>
      <c r="C103" s="120">
        <f>SUM(D103:F103)</f>
        <v>110</v>
      </c>
      <c r="D103" s="117">
        <v>110</v>
      </c>
      <c r="E103" s="117">
        <v>0</v>
      </c>
      <c r="F103" s="117">
        <v>0</v>
      </c>
      <c r="G103" s="117">
        <v>0</v>
      </c>
      <c r="H103" s="117">
        <v>0</v>
      </c>
      <c r="I103" s="117">
        <v>0</v>
      </c>
      <c r="J103" s="117">
        <v>0</v>
      </c>
    </row>
    <row r="104" spans="1:10" ht="11.25" customHeight="1" x14ac:dyDescent="0.2">
      <c r="A104" s="116" t="s">
        <v>117</v>
      </c>
      <c r="B104" s="128" t="s">
        <v>118</v>
      </c>
      <c r="C104" s="120">
        <f>SUM(D104:F104)</f>
        <v>59</v>
      </c>
      <c r="D104" s="117">
        <v>59</v>
      </c>
      <c r="E104" s="117">
        <v>0</v>
      </c>
      <c r="F104" s="117">
        <v>0</v>
      </c>
      <c r="G104" s="117">
        <v>0</v>
      </c>
      <c r="H104" s="117">
        <v>0</v>
      </c>
      <c r="I104" s="117">
        <v>0</v>
      </c>
      <c r="J104" s="117">
        <v>0</v>
      </c>
    </row>
    <row r="105" spans="1:10" ht="11.25" customHeight="1" x14ac:dyDescent="0.2">
      <c r="A105" s="116" t="s">
        <v>121</v>
      </c>
      <c r="B105" s="128" t="s">
        <v>122</v>
      </c>
      <c r="C105" s="120">
        <f>SUM(D105:F105)</f>
        <v>55</v>
      </c>
      <c r="D105" s="117">
        <v>55</v>
      </c>
      <c r="E105" s="117">
        <v>0</v>
      </c>
      <c r="F105" s="117">
        <v>0</v>
      </c>
      <c r="G105" s="117">
        <v>0</v>
      </c>
      <c r="H105" s="117">
        <v>0</v>
      </c>
      <c r="I105" s="117">
        <v>0</v>
      </c>
      <c r="J105" s="117">
        <v>0</v>
      </c>
    </row>
    <row r="106" spans="1:10" ht="11.25" customHeight="1" thickBot="1" x14ac:dyDescent="0.25">
      <c r="A106" s="144">
        <v>700</v>
      </c>
      <c r="B106" s="111" t="s">
        <v>176</v>
      </c>
      <c r="C106" s="112">
        <f>SUM(C107,C158,C127,C152)</f>
        <v>99397889.829999998</v>
      </c>
      <c r="D106" s="112">
        <f t="shared" ref="D106:J106" si="13">SUM(D107,D158,D127,D152)</f>
        <v>34468570.359999999</v>
      </c>
      <c r="E106" s="112">
        <f t="shared" si="13"/>
        <v>1436511.01</v>
      </c>
      <c r="F106" s="112">
        <f t="shared" si="13"/>
        <v>64929319.469999999</v>
      </c>
      <c r="G106" s="112">
        <f t="shared" si="13"/>
        <v>46190013.789999999</v>
      </c>
      <c r="H106" s="112">
        <f t="shared" si="13"/>
        <v>4695000</v>
      </c>
      <c r="I106" s="112">
        <f t="shared" si="13"/>
        <v>120000</v>
      </c>
      <c r="J106" s="112">
        <f t="shared" si="13"/>
        <v>13924305.68</v>
      </c>
    </row>
    <row r="107" spans="1:10" ht="11.25" customHeight="1" thickTop="1" x14ac:dyDescent="0.2">
      <c r="A107" s="145">
        <v>70005</v>
      </c>
      <c r="B107" s="105" t="s">
        <v>177</v>
      </c>
      <c r="C107" s="127">
        <f>SUM(C108:C126)</f>
        <v>8760750</v>
      </c>
      <c r="D107" s="127">
        <f t="shared" ref="D107:J107" si="14">SUM(D108:D126)</f>
        <v>4095750</v>
      </c>
      <c r="E107" s="127">
        <f t="shared" si="14"/>
        <v>0</v>
      </c>
      <c r="F107" s="127">
        <f t="shared" si="14"/>
        <v>4665000</v>
      </c>
      <c r="G107" s="127">
        <f t="shared" si="14"/>
        <v>0</v>
      </c>
      <c r="H107" s="127">
        <f t="shared" si="14"/>
        <v>4545000</v>
      </c>
      <c r="I107" s="127">
        <f t="shared" si="14"/>
        <v>120000</v>
      </c>
      <c r="J107" s="127">
        <f t="shared" si="14"/>
        <v>0</v>
      </c>
    </row>
    <row r="108" spans="1:10" ht="11.25" customHeight="1" x14ac:dyDescent="0.2">
      <c r="A108" s="116" t="s">
        <v>178</v>
      </c>
      <c r="B108" s="121" t="s">
        <v>179</v>
      </c>
      <c r="C108" s="117"/>
      <c r="D108" s="117"/>
      <c r="E108" s="117"/>
      <c r="F108" s="117"/>
      <c r="G108" s="117"/>
      <c r="H108" s="117"/>
      <c r="I108" s="117"/>
      <c r="J108" s="117"/>
    </row>
    <row r="109" spans="1:10" ht="11.25" customHeight="1" x14ac:dyDescent="0.2">
      <c r="A109" s="143"/>
      <c r="B109" s="121" t="s">
        <v>180</v>
      </c>
      <c r="C109" s="120">
        <f>SUM(D109,F109)</f>
        <v>300000</v>
      </c>
      <c r="D109" s="117">
        <v>300000</v>
      </c>
      <c r="E109" s="117">
        <v>0</v>
      </c>
      <c r="F109" s="117">
        <f>SUM(G109:J109)</f>
        <v>0</v>
      </c>
      <c r="G109" s="117">
        <v>0</v>
      </c>
      <c r="H109" s="117">
        <v>0</v>
      </c>
      <c r="I109" s="117">
        <v>0</v>
      </c>
      <c r="J109" s="117">
        <v>0</v>
      </c>
    </row>
    <row r="110" spans="1:10" ht="11.25" customHeight="1" x14ac:dyDescent="0.2">
      <c r="A110" s="116" t="s">
        <v>181</v>
      </c>
      <c r="B110" s="121" t="s">
        <v>182</v>
      </c>
      <c r="C110" s="120"/>
      <c r="D110" s="117"/>
      <c r="E110" s="117"/>
      <c r="F110" s="117"/>
      <c r="G110" s="117"/>
      <c r="H110" s="117"/>
      <c r="I110" s="117"/>
      <c r="J110" s="117"/>
    </row>
    <row r="111" spans="1:10" ht="11.25" customHeight="1" x14ac:dyDescent="0.2">
      <c r="A111" s="116"/>
      <c r="B111" s="121" t="s">
        <v>183</v>
      </c>
      <c r="C111" s="120">
        <f>SUM(D111,F111)</f>
        <v>1425000</v>
      </c>
      <c r="D111" s="117">
        <v>1425000</v>
      </c>
      <c r="E111" s="117">
        <v>0</v>
      </c>
      <c r="F111" s="117">
        <v>0</v>
      </c>
      <c r="G111" s="117">
        <v>0</v>
      </c>
      <c r="H111" s="117">
        <v>0</v>
      </c>
      <c r="I111" s="117">
        <v>0</v>
      </c>
      <c r="J111" s="117">
        <v>0</v>
      </c>
    </row>
    <row r="112" spans="1:10" ht="11.25" customHeight="1" x14ac:dyDescent="0.2">
      <c r="A112" s="146" t="s">
        <v>97</v>
      </c>
      <c r="B112" s="105" t="s">
        <v>98</v>
      </c>
      <c r="C112" s="127">
        <f>SUM(D112,F112)</f>
        <v>10000</v>
      </c>
      <c r="D112" s="147">
        <v>10000</v>
      </c>
      <c r="E112" s="147">
        <v>0</v>
      </c>
      <c r="F112" s="127">
        <f>SUM(G112:J112)</f>
        <v>0</v>
      </c>
      <c r="G112" s="147">
        <v>0</v>
      </c>
      <c r="H112" s="147">
        <v>0</v>
      </c>
      <c r="I112" s="147">
        <v>0</v>
      </c>
      <c r="J112" s="147">
        <v>0</v>
      </c>
    </row>
    <row r="113" spans="1:10" ht="11.25" customHeight="1" x14ac:dyDescent="0.2">
      <c r="A113" s="116" t="s">
        <v>99</v>
      </c>
      <c r="B113" s="121" t="s">
        <v>172</v>
      </c>
      <c r="C113" s="117"/>
      <c r="D113" s="117"/>
      <c r="E113" s="117"/>
      <c r="F113" s="117"/>
      <c r="G113" s="117"/>
      <c r="H113" s="117"/>
      <c r="I113" s="117"/>
      <c r="J113" s="117"/>
    </row>
    <row r="114" spans="1:10" ht="11.25" customHeight="1" x14ac:dyDescent="0.2">
      <c r="A114" s="143"/>
      <c r="B114" s="121" t="s">
        <v>173</v>
      </c>
      <c r="C114" s="117"/>
      <c r="D114" s="117"/>
      <c r="E114" s="117"/>
      <c r="F114" s="117"/>
      <c r="G114" s="117"/>
      <c r="H114" s="117"/>
      <c r="I114" s="117"/>
      <c r="J114" s="117"/>
    </row>
    <row r="115" spans="1:10" ht="11.25" customHeight="1" x14ac:dyDescent="0.2">
      <c r="A115" s="143"/>
      <c r="B115" s="121" t="s">
        <v>174</v>
      </c>
      <c r="C115" s="117"/>
      <c r="D115" s="117"/>
      <c r="E115" s="117"/>
      <c r="F115" s="117"/>
      <c r="G115" s="117"/>
      <c r="H115" s="117"/>
      <c r="I115" s="117"/>
      <c r="J115" s="117"/>
    </row>
    <row r="116" spans="1:10" ht="11.25" customHeight="1" x14ac:dyDescent="0.2">
      <c r="A116" s="143"/>
      <c r="B116" s="121" t="s">
        <v>175</v>
      </c>
      <c r="C116" s="120">
        <f>SUM(D116,F116)</f>
        <v>843500</v>
      </c>
      <c r="D116" s="117">
        <v>843500</v>
      </c>
      <c r="E116" s="117">
        <v>0</v>
      </c>
      <c r="F116" s="117">
        <f>SUM(G116:J116)</f>
        <v>0</v>
      </c>
      <c r="G116" s="117">
        <v>0</v>
      </c>
      <c r="H116" s="117">
        <v>0</v>
      </c>
      <c r="I116" s="117">
        <v>0</v>
      </c>
      <c r="J116" s="117">
        <v>0</v>
      </c>
    </row>
    <row r="117" spans="1:10" ht="11.25" customHeight="1" x14ac:dyDescent="0.2">
      <c r="A117" s="116" t="s">
        <v>184</v>
      </c>
      <c r="B117" s="121" t="s">
        <v>185</v>
      </c>
      <c r="C117" s="117"/>
      <c r="D117" s="117"/>
      <c r="E117" s="117"/>
      <c r="F117" s="117"/>
      <c r="G117" s="117"/>
      <c r="H117" s="117"/>
      <c r="I117" s="117"/>
      <c r="J117" s="117"/>
    </row>
    <row r="118" spans="1:10" ht="11.25" customHeight="1" x14ac:dyDescent="0.2">
      <c r="A118" s="143"/>
      <c r="B118" s="121" t="s">
        <v>186</v>
      </c>
      <c r="C118" s="120">
        <f>SUM(D118,F118)</f>
        <v>120000</v>
      </c>
      <c r="D118" s="117">
        <v>0</v>
      </c>
      <c r="E118" s="117">
        <v>0</v>
      </c>
      <c r="F118" s="117">
        <f>SUM(G118:J118)</f>
        <v>120000</v>
      </c>
      <c r="G118" s="117">
        <v>0</v>
      </c>
      <c r="H118" s="117">
        <v>0</v>
      </c>
      <c r="I118" s="117">
        <v>120000</v>
      </c>
      <c r="J118" s="117">
        <v>0</v>
      </c>
    </row>
    <row r="119" spans="1:10" ht="11.25" customHeight="1" x14ac:dyDescent="0.2">
      <c r="A119" s="116" t="s">
        <v>187</v>
      </c>
      <c r="B119" s="121" t="s">
        <v>188</v>
      </c>
      <c r="C119" s="120"/>
      <c r="D119" s="117"/>
      <c r="E119" s="117"/>
      <c r="F119" s="117"/>
      <c r="G119" s="117"/>
      <c r="H119" s="117"/>
      <c r="I119" s="117"/>
      <c r="J119" s="117"/>
    </row>
    <row r="120" spans="1:10" ht="11.25" customHeight="1" x14ac:dyDescent="0.2">
      <c r="A120" s="143"/>
      <c r="B120" s="121" t="s">
        <v>189</v>
      </c>
      <c r="C120" s="120">
        <f>SUM(D120,F120)</f>
        <v>4545000</v>
      </c>
      <c r="D120" s="117">
        <v>0</v>
      </c>
      <c r="E120" s="117">
        <v>0</v>
      </c>
      <c r="F120" s="117">
        <f>SUM(G120:J120)</f>
        <v>4545000</v>
      </c>
      <c r="G120" s="117">
        <v>0</v>
      </c>
      <c r="H120" s="117">
        <v>4545000</v>
      </c>
      <c r="I120" s="117">
        <v>0</v>
      </c>
      <c r="J120" s="117">
        <v>0</v>
      </c>
    </row>
    <row r="121" spans="1:10" ht="11.25" customHeight="1" x14ac:dyDescent="0.2">
      <c r="A121" s="116" t="s">
        <v>113</v>
      </c>
      <c r="B121" s="121" t="s">
        <v>114</v>
      </c>
      <c r="C121" s="120">
        <f>SUM(D121,F121)</f>
        <v>7000</v>
      </c>
      <c r="D121" s="117">
        <v>7000</v>
      </c>
      <c r="E121" s="117">
        <v>0</v>
      </c>
      <c r="F121" s="117">
        <f>SUM(G121:J121)</f>
        <v>0</v>
      </c>
      <c r="G121" s="117">
        <v>0</v>
      </c>
      <c r="H121" s="117">
        <v>0</v>
      </c>
      <c r="I121" s="117">
        <v>0</v>
      </c>
      <c r="J121" s="117">
        <v>0</v>
      </c>
    </row>
    <row r="122" spans="1:10" ht="11.25" customHeight="1" x14ac:dyDescent="0.2">
      <c r="A122" s="116" t="s">
        <v>115</v>
      </c>
      <c r="B122" s="121" t="s">
        <v>116</v>
      </c>
      <c r="C122" s="120">
        <f>SUM(D122,F122)</f>
        <v>95000</v>
      </c>
      <c r="D122" s="117">
        <v>95000</v>
      </c>
      <c r="E122" s="117">
        <v>0</v>
      </c>
      <c r="F122" s="117">
        <f>SUM(G122:J122)</f>
        <v>0</v>
      </c>
      <c r="G122" s="117">
        <v>0</v>
      </c>
      <c r="H122" s="117">
        <v>0</v>
      </c>
      <c r="I122" s="117">
        <v>0</v>
      </c>
      <c r="J122" s="117">
        <v>0</v>
      </c>
    </row>
    <row r="123" spans="1:10" ht="11.25" customHeight="1" x14ac:dyDescent="0.2">
      <c r="A123" s="116" t="s">
        <v>121</v>
      </c>
      <c r="B123" s="121" t="s">
        <v>122</v>
      </c>
      <c r="C123" s="120">
        <f>SUM(D123,F123)</f>
        <v>50000</v>
      </c>
      <c r="D123" s="117">
        <v>50000</v>
      </c>
      <c r="E123" s="117">
        <v>0</v>
      </c>
      <c r="F123" s="117">
        <f>SUM(G123:J123)</f>
        <v>0</v>
      </c>
      <c r="G123" s="117">
        <v>0</v>
      </c>
      <c r="H123" s="117">
        <v>0</v>
      </c>
      <c r="I123" s="117">
        <v>0</v>
      </c>
      <c r="J123" s="117">
        <v>0</v>
      </c>
    </row>
    <row r="124" spans="1:10" ht="11.25" customHeight="1" x14ac:dyDescent="0.2">
      <c r="A124" s="116" t="s">
        <v>190</v>
      </c>
      <c r="B124" s="121" t="s">
        <v>191</v>
      </c>
      <c r="C124" s="120"/>
      <c r="D124" s="117"/>
      <c r="E124" s="117"/>
      <c r="F124" s="117"/>
      <c r="G124" s="117"/>
      <c r="H124" s="117"/>
      <c r="I124" s="117"/>
      <c r="J124" s="117"/>
    </row>
    <row r="125" spans="1:10" ht="11.25" customHeight="1" x14ac:dyDescent="0.2">
      <c r="A125" s="148"/>
      <c r="B125" s="121" t="s">
        <v>192</v>
      </c>
      <c r="C125" s="120"/>
      <c r="D125" s="117"/>
      <c r="E125" s="117"/>
      <c r="F125" s="117"/>
      <c r="G125" s="117"/>
      <c r="H125" s="117"/>
      <c r="I125" s="117"/>
      <c r="J125" s="117"/>
    </row>
    <row r="126" spans="1:10" ht="11.25" customHeight="1" x14ac:dyDescent="0.2">
      <c r="A126" s="148"/>
      <c r="B126" s="121" t="s">
        <v>193</v>
      </c>
      <c r="C126" s="120">
        <v>1365250</v>
      </c>
      <c r="D126" s="117">
        <v>1365250</v>
      </c>
      <c r="E126" s="117">
        <v>0</v>
      </c>
      <c r="F126" s="117">
        <v>0</v>
      </c>
      <c r="G126" s="117">
        <v>0</v>
      </c>
      <c r="H126" s="117">
        <v>0</v>
      </c>
      <c r="I126" s="117">
        <v>0</v>
      </c>
      <c r="J126" s="117">
        <v>0</v>
      </c>
    </row>
    <row r="127" spans="1:10" ht="11.25" customHeight="1" x14ac:dyDescent="0.2">
      <c r="A127" s="125" t="s">
        <v>194</v>
      </c>
      <c r="B127" s="105" t="s">
        <v>195</v>
      </c>
      <c r="C127" s="127">
        <f>SUM(C130:C151)</f>
        <v>38989928.240000002</v>
      </c>
      <c r="D127" s="127">
        <f t="shared" ref="D127:J127" si="15">SUM(D130:D151)</f>
        <v>30372820.360000003</v>
      </c>
      <c r="E127" s="127">
        <f t="shared" si="15"/>
        <v>1436511.01</v>
      </c>
      <c r="F127" s="127">
        <f t="shared" si="15"/>
        <v>8617107.879999999</v>
      </c>
      <c r="G127" s="127">
        <f t="shared" si="15"/>
        <v>7351671</v>
      </c>
      <c r="H127" s="127">
        <f t="shared" si="15"/>
        <v>150000</v>
      </c>
      <c r="I127" s="127">
        <f t="shared" si="15"/>
        <v>0</v>
      </c>
      <c r="J127" s="127">
        <f t="shared" si="15"/>
        <v>1115436.8800000001</v>
      </c>
    </row>
    <row r="128" spans="1:10" ht="11.25" customHeight="1" x14ac:dyDescent="0.2">
      <c r="A128" s="116" t="s">
        <v>196</v>
      </c>
      <c r="B128" s="121" t="s">
        <v>197</v>
      </c>
      <c r="C128" s="120"/>
      <c r="D128" s="120"/>
      <c r="E128" s="120"/>
      <c r="F128" s="120"/>
      <c r="G128" s="120"/>
      <c r="H128" s="120"/>
      <c r="I128" s="120"/>
      <c r="J128" s="120"/>
    </row>
    <row r="129" spans="1:10" ht="11.25" customHeight="1" x14ac:dyDescent="0.2">
      <c r="A129" s="116"/>
      <c r="B129" s="121" t="s">
        <v>198</v>
      </c>
      <c r="C129" s="120"/>
      <c r="D129" s="120"/>
      <c r="E129" s="120"/>
      <c r="F129" s="120"/>
      <c r="G129" s="120"/>
      <c r="H129" s="120"/>
      <c r="I129" s="120"/>
      <c r="J129" s="120"/>
    </row>
    <row r="130" spans="1:10" ht="11.25" customHeight="1" x14ac:dyDescent="0.2">
      <c r="A130" s="116"/>
      <c r="B130" s="121" t="s">
        <v>199</v>
      </c>
      <c r="C130" s="120">
        <f>SUM(D130)</f>
        <v>25000</v>
      </c>
      <c r="D130" s="120">
        <v>25000</v>
      </c>
      <c r="E130" s="120">
        <v>0</v>
      </c>
      <c r="F130" s="120">
        <v>0</v>
      </c>
      <c r="G130" s="120">
        <v>0</v>
      </c>
      <c r="H130" s="120">
        <v>0</v>
      </c>
      <c r="I130" s="120">
        <v>0</v>
      </c>
      <c r="J130" s="120">
        <v>0</v>
      </c>
    </row>
    <row r="131" spans="1:10" ht="11.25" customHeight="1" x14ac:dyDescent="0.2">
      <c r="A131" s="116" t="s">
        <v>152</v>
      </c>
      <c r="B131" s="121" t="s">
        <v>153</v>
      </c>
      <c r="C131" s="120"/>
      <c r="D131" s="120"/>
      <c r="E131" s="120"/>
      <c r="F131" s="120"/>
      <c r="G131" s="120"/>
      <c r="H131" s="120"/>
      <c r="I131" s="120"/>
      <c r="J131" s="120"/>
    </row>
    <row r="132" spans="1:10" ht="11.25" customHeight="1" x14ac:dyDescent="0.2">
      <c r="A132" s="143"/>
      <c r="B132" s="121" t="s">
        <v>154</v>
      </c>
      <c r="C132" s="120">
        <f>SUM(D132)</f>
        <v>10000</v>
      </c>
      <c r="D132" s="120">
        <v>10000</v>
      </c>
      <c r="E132" s="120">
        <v>0</v>
      </c>
      <c r="F132" s="120">
        <v>0</v>
      </c>
      <c r="G132" s="120">
        <v>0</v>
      </c>
      <c r="H132" s="120">
        <v>0</v>
      </c>
      <c r="I132" s="120">
        <v>0</v>
      </c>
      <c r="J132" s="120">
        <v>0</v>
      </c>
    </row>
    <row r="133" spans="1:10" ht="11.25" customHeight="1" x14ac:dyDescent="0.2">
      <c r="A133" s="116" t="s">
        <v>99</v>
      </c>
      <c r="B133" s="121" t="s">
        <v>172</v>
      </c>
      <c r="C133" s="120"/>
      <c r="D133" s="120"/>
      <c r="E133" s="120"/>
      <c r="F133" s="120"/>
      <c r="G133" s="120"/>
      <c r="H133" s="120"/>
      <c r="I133" s="120"/>
      <c r="J133" s="120"/>
    </row>
    <row r="134" spans="1:10" ht="11.25" customHeight="1" x14ac:dyDescent="0.2">
      <c r="A134" s="143"/>
      <c r="B134" s="121" t="s">
        <v>173</v>
      </c>
      <c r="C134" s="120"/>
      <c r="D134" s="120"/>
      <c r="E134" s="120"/>
      <c r="F134" s="120"/>
      <c r="G134" s="120"/>
      <c r="H134" s="120"/>
      <c r="I134" s="120"/>
      <c r="J134" s="120"/>
    </row>
    <row r="135" spans="1:10" ht="11.25" customHeight="1" x14ac:dyDescent="0.2">
      <c r="A135" s="143"/>
      <c r="B135" s="121" t="s">
        <v>174</v>
      </c>
      <c r="C135" s="120"/>
      <c r="D135" s="120"/>
      <c r="E135" s="120"/>
      <c r="F135" s="120"/>
      <c r="G135" s="120"/>
      <c r="H135" s="120"/>
      <c r="I135" s="120"/>
      <c r="J135" s="120"/>
    </row>
    <row r="136" spans="1:10" ht="11.25" customHeight="1" x14ac:dyDescent="0.2">
      <c r="A136" s="143"/>
      <c r="B136" s="121" t="s">
        <v>175</v>
      </c>
      <c r="C136" s="120">
        <f>SUM(D136)</f>
        <v>28247309.350000001</v>
      </c>
      <c r="D136" s="120">
        <f>28000000+247309.35</f>
        <v>28247309.350000001</v>
      </c>
      <c r="E136" s="120">
        <v>0</v>
      </c>
      <c r="F136" s="120">
        <v>0</v>
      </c>
      <c r="G136" s="120">
        <v>0</v>
      </c>
      <c r="H136" s="120">
        <v>0</v>
      </c>
      <c r="I136" s="120">
        <v>0</v>
      </c>
      <c r="J136" s="120">
        <v>0</v>
      </c>
    </row>
    <row r="137" spans="1:10" ht="11.25" customHeight="1" x14ac:dyDescent="0.2">
      <c r="A137" s="116" t="s">
        <v>187</v>
      </c>
      <c r="B137" s="121" t="s">
        <v>188</v>
      </c>
      <c r="C137" s="120"/>
      <c r="D137" s="117"/>
      <c r="E137" s="117"/>
      <c r="F137" s="117"/>
      <c r="G137" s="117"/>
      <c r="H137" s="117"/>
      <c r="I137" s="117"/>
      <c r="J137" s="117"/>
    </row>
    <row r="138" spans="1:10" ht="11.25" customHeight="1" x14ac:dyDescent="0.2">
      <c r="A138" s="143"/>
      <c r="B138" s="121" t="s">
        <v>189</v>
      </c>
      <c r="C138" s="120">
        <f>SUM(F138)</f>
        <v>150000</v>
      </c>
      <c r="D138" s="117">
        <v>0</v>
      </c>
      <c r="E138" s="117">
        <v>0</v>
      </c>
      <c r="F138" s="117">
        <f>SUM(H138)</f>
        <v>150000</v>
      </c>
      <c r="G138" s="117">
        <v>0</v>
      </c>
      <c r="H138" s="117">
        <v>150000</v>
      </c>
      <c r="I138" s="117">
        <v>0</v>
      </c>
      <c r="J138" s="117">
        <v>0</v>
      </c>
    </row>
    <row r="139" spans="1:10" ht="11.25" customHeight="1" x14ac:dyDescent="0.2">
      <c r="A139" s="116" t="s">
        <v>113</v>
      </c>
      <c r="B139" s="121" t="s">
        <v>114</v>
      </c>
      <c r="C139" s="120">
        <f t="shared" ref="C139:C145" si="16">SUM(D139)</f>
        <v>6000</v>
      </c>
      <c r="D139" s="117">
        <v>6000</v>
      </c>
      <c r="E139" s="117">
        <v>0</v>
      </c>
      <c r="F139" s="117">
        <v>0</v>
      </c>
      <c r="G139" s="117">
        <v>0</v>
      </c>
      <c r="H139" s="117">
        <v>0</v>
      </c>
      <c r="I139" s="117">
        <v>0</v>
      </c>
      <c r="J139" s="117">
        <v>0</v>
      </c>
    </row>
    <row r="140" spans="1:10" ht="11.25" customHeight="1" x14ac:dyDescent="0.2">
      <c r="A140" s="116" t="s">
        <v>115</v>
      </c>
      <c r="B140" s="121" t="s">
        <v>116</v>
      </c>
      <c r="C140" s="120">
        <f t="shared" si="16"/>
        <v>130000</v>
      </c>
      <c r="D140" s="117">
        <v>130000</v>
      </c>
      <c r="E140" s="117">
        <v>0</v>
      </c>
      <c r="F140" s="117">
        <v>0</v>
      </c>
      <c r="G140" s="117">
        <v>0</v>
      </c>
      <c r="H140" s="117">
        <v>0</v>
      </c>
      <c r="I140" s="117">
        <v>0</v>
      </c>
      <c r="J140" s="117">
        <v>0</v>
      </c>
    </row>
    <row r="141" spans="1:10" ht="11.25" customHeight="1" x14ac:dyDescent="0.2">
      <c r="A141" s="116" t="s">
        <v>117</v>
      </c>
      <c r="B141" s="128" t="s">
        <v>118</v>
      </c>
      <c r="C141" s="120">
        <f t="shared" si="16"/>
        <v>500000</v>
      </c>
      <c r="D141" s="117">
        <f>300000+200000</f>
        <v>500000</v>
      </c>
      <c r="E141" s="117">
        <v>0</v>
      </c>
      <c r="F141" s="117">
        <v>0</v>
      </c>
      <c r="G141" s="117">
        <v>0</v>
      </c>
      <c r="H141" s="117">
        <v>0</v>
      </c>
      <c r="I141" s="117">
        <v>0</v>
      </c>
      <c r="J141" s="117">
        <v>0</v>
      </c>
    </row>
    <row r="142" spans="1:10" ht="11.25" customHeight="1" x14ac:dyDescent="0.2">
      <c r="A142" s="116" t="s">
        <v>119</v>
      </c>
      <c r="B142" s="128" t="s">
        <v>120</v>
      </c>
      <c r="C142" s="120">
        <f t="shared" si="16"/>
        <v>10000</v>
      </c>
      <c r="D142" s="117">
        <v>10000</v>
      </c>
      <c r="E142" s="117">
        <v>0</v>
      </c>
      <c r="F142" s="117">
        <v>0</v>
      </c>
      <c r="G142" s="117">
        <v>0</v>
      </c>
      <c r="H142" s="117">
        <v>0</v>
      </c>
      <c r="I142" s="117">
        <v>0</v>
      </c>
      <c r="J142" s="117">
        <v>0</v>
      </c>
    </row>
    <row r="143" spans="1:10" ht="11.25" customHeight="1" x14ac:dyDescent="0.2">
      <c r="A143" s="116" t="s">
        <v>121</v>
      </c>
      <c r="B143" s="128" t="s">
        <v>122</v>
      </c>
      <c r="C143" s="120">
        <f t="shared" si="16"/>
        <v>8000</v>
      </c>
      <c r="D143" s="117">
        <v>8000</v>
      </c>
      <c r="E143" s="117">
        <v>0</v>
      </c>
      <c r="F143" s="117">
        <v>0</v>
      </c>
      <c r="G143" s="117">
        <v>0</v>
      </c>
      <c r="H143" s="117">
        <v>0</v>
      </c>
      <c r="I143" s="117">
        <v>0</v>
      </c>
      <c r="J143" s="117">
        <v>0</v>
      </c>
    </row>
    <row r="144" spans="1:10" ht="57.75" customHeight="1" x14ac:dyDescent="0.2">
      <c r="A144" s="130" t="s">
        <v>200</v>
      </c>
      <c r="B144" s="149" t="s">
        <v>201</v>
      </c>
      <c r="C144" s="120">
        <f t="shared" si="16"/>
        <v>1364685.46</v>
      </c>
      <c r="D144" s="117">
        <f>SUM(E144)</f>
        <v>1364685.46</v>
      </c>
      <c r="E144" s="117">
        <v>1364685.46</v>
      </c>
      <c r="F144" s="117">
        <f>SUM(G144:J144)</f>
        <v>0</v>
      </c>
      <c r="G144" s="117">
        <v>0</v>
      </c>
      <c r="H144" s="117">
        <v>0</v>
      </c>
      <c r="I144" s="117">
        <v>0</v>
      </c>
      <c r="J144" s="117">
        <v>0</v>
      </c>
    </row>
    <row r="145" spans="1:10" ht="57.75" customHeight="1" x14ac:dyDescent="0.2">
      <c r="A145" s="150" t="s">
        <v>202</v>
      </c>
      <c r="B145" s="151" t="s">
        <v>201</v>
      </c>
      <c r="C145" s="127">
        <f t="shared" si="16"/>
        <v>71825.55</v>
      </c>
      <c r="D145" s="147">
        <f>SUM(E145)</f>
        <v>71825.55</v>
      </c>
      <c r="E145" s="147">
        <v>71825.55</v>
      </c>
      <c r="F145" s="147">
        <f>SUM(G145:J145)</f>
        <v>0</v>
      </c>
      <c r="G145" s="147">
        <v>0</v>
      </c>
      <c r="H145" s="147">
        <v>0</v>
      </c>
      <c r="I145" s="147">
        <v>0</v>
      </c>
      <c r="J145" s="147">
        <v>0</v>
      </c>
    </row>
    <row r="146" spans="1:10" ht="11.25" customHeight="1" x14ac:dyDescent="0.2">
      <c r="A146" s="116" t="s">
        <v>203</v>
      </c>
      <c r="B146" s="128" t="s">
        <v>204</v>
      </c>
      <c r="C146" s="120"/>
      <c r="D146" s="117"/>
      <c r="E146" s="117"/>
      <c r="F146" s="117"/>
      <c r="G146" s="117"/>
      <c r="H146" s="117"/>
      <c r="I146" s="117"/>
      <c r="J146" s="117"/>
    </row>
    <row r="147" spans="1:10" ht="11.25" customHeight="1" x14ac:dyDescent="0.2">
      <c r="A147" s="116"/>
      <c r="B147" s="128" t="s">
        <v>205</v>
      </c>
      <c r="C147" s="120"/>
      <c r="D147" s="117"/>
      <c r="E147" s="117"/>
      <c r="F147" s="117"/>
      <c r="G147" s="117"/>
      <c r="H147" s="117"/>
      <c r="I147" s="117"/>
      <c r="J147" s="117"/>
    </row>
    <row r="148" spans="1:10" ht="11.25" customHeight="1" x14ac:dyDescent="0.2">
      <c r="A148" s="116"/>
      <c r="B148" s="128" t="s">
        <v>206</v>
      </c>
      <c r="C148" s="120"/>
      <c r="D148" s="117"/>
      <c r="E148" s="117"/>
      <c r="F148" s="117"/>
      <c r="G148" s="117"/>
      <c r="H148" s="117"/>
      <c r="I148" s="117"/>
      <c r="J148" s="117"/>
    </row>
    <row r="149" spans="1:10" ht="11.25" customHeight="1" x14ac:dyDescent="0.2">
      <c r="A149" s="116"/>
      <c r="B149" s="128" t="s">
        <v>207</v>
      </c>
      <c r="C149" s="120">
        <f>SUM(F149)+D149</f>
        <v>7351671</v>
      </c>
      <c r="D149" s="117">
        <v>0</v>
      </c>
      <c r="E149" s="117">
        <v>0</v>
      </c>
      <c r="F149" s="117">
        <f>G149</f>
        <v>7351671</v>
      </c>
      <c r="G149" s="117">
        <v>7351671</v>
      </c>
      <c r="H149" s="117">
        <v>0</v>
      </c>
      <c r="I149" s="117">
        <v>0</v>
      </c>
      <c r="J149" s="117">
        <v>0</v>
      </c>
    </row>
    <row r="150" spans="1:10" ht="46.5" customHeight="1" x14ac:dyDescent="0.2">
      <c r="A150" s="130" t="s">
        <v>208</v>
      </c>
      <c r="B150" s="139" t="s">
        <v>209</v>
      </c>
      <c r="C150" s="120">
        <f>SUM(F150)</f>
        <v>1059665.04</v>
      </c>
      <c r="D150" s="117">
        <v>0</v>
      </c>
      <c r="E150" s="117">
        <v>0</v>
      </c>
      <c r="F150" s="117">
        <f>SUM(J150)</f>
        <v>1059665.04</v>
      </c>
      <c r="G150" s="117">
        <v>0</v>
      </c>
      <c r="H150" s="117">
        <v>0</v>
      </c>
      <c r="I150" s="117">
        <v>0</v>
      </c>
      <c r="J150" s="117">
        <v>1059665.04</v>
      </c>
    </row>
    <row r="151" spans="1:10" ht="49.5" customHeight="1" x14ac:dyDescent="0.2">
      <c r="A151" s="130" t="s">
        <v>210</v>
      </c>
      <c r="B151" s="139" t="s">
        <v>209</v>
      </c>
      <c r="C151" s="120">
        <f>SUM(F151)</f>
        <v>55771.839999999997</v>
      </c>
      <c r="D151" s="117">
        <v>0</v>
      </c>
      <c r="E151" s="117">
        <v>0</v>
      </c>
      <c r="F151" s="117">
        <f>SUM(J151)</f>
        <v>55771.839999999997</v>
      </c>
      <c r="G151" s="117">
        <v>0</v>
      </c>
      <c r="H151" s="117">
        <v>0</v>
      </c>
      <c r="I151" s="117">
        <v>0</v>
      </c>
      <c r="J151" s="117">
        <v>55771.839999999997</v>
      </c>
    </row>
    <row r="152" spans="1:10" ht="12.75" customHeight="1" x14ac:dyDescent="0.2">
      <c r="A152" s="150" t="s">
        <v>211</v>
      </c>
      <c r="B152" s="152" t="s">
        <v>212</v>
      </c>
      <c r="C152" s="127">
        <f>SUM(C157)</f>
        <v>7022346.1600000001</v>
      </c>
      <c r="D152" s="127">
        <f t="shared" ref="D152:J152" si="17">SUM(D157)</f>
        <v>0</v>
      </c>
      <c r="E152" s="127">
        <f t="shared" si="17"/>
        <v>0</v>
      </c>
      <c r="F152" s="127">
        <f t="shared" si="17"/>
        <v>7022346.1600000001</v>
      </c>
      <c r="G152" s="127">
        <f t="shared" si="17"/>
        <v>0</v>
      </c>
      <c r="H152" s="127">
        <f t="shared" si="17"/>
        <v>0</v>
      </c>
      <c r="I152" s="127">
        <f t="shared" si="17"/>
        <v>0</v>
      </c>
      <c r="J152" s="127">
        <f t="shared" si="17"/>
        <v>7022346.1600000001</v>
      </c>
    </row>
    <row r="153" spans="1:10" ht="12.75" customHeight="1" x14ac:dyDescent="0.2">
      <c r="A153" s="116" t="s">
        <v>138</v>
      </c>
      <c r="B153" s="128" t="s">
        <v>139</v>
      </c>
      <c r="C153" s="120"/>
      <c r="D153" s="117"/>
      <c r="E153" s="117"/>
      <c r="F153" s="117"/>
      <c r="G153" s="117"/>
      <c r="H153" s="117"/>
      <c r="I153" s="117"/>
      <c r="J153" s="117"/>
    </row>
    <row r="154" spans="1:10" ht="12.75" customHeight="1" x14ac:dyDescent="0.2">
      <c r="A154" s="116"/>
      <c r="B154" s="128" t="s">
        <v>140</v>
      </c>
      <c r="C154" s="120"/>
      <c r="D154" s="117"/>
      <c r="E154" s="117"/>
      <c r="F154" s="117"/>
      <c r="G154" s="117"/>
      <c r="H154" s="117"/>
      <c r="I154" s="117"/>
      <c r="J154" s="117"/>
    </row>
    <row r="155" spans="1:10" ht="12.75" customHeight="1" x14ac:dyDescent="0.2">
      <c r="A155" s="116"/>
      <c r="B155" s="128" t="s">
        <v>213</v>
      </c>
      <c r="C155" s="120"/>
      <c r="D155" s="117"/>
      <c r="E155" s="117"/>
      <c r="F155" s="117"/>
      <c r="G155" s="117"/>
      <c r="H155" s="117"/>
      <c r="I155" s="117"/>
      <c r="J155" s="117"/>
    </row>
    <row r="156" spans="1:10" ht="12.75" customHeight="1" x14ac:dyDescent="0.2">
      <c r="A156" s="116"/>
      <c r="B156" s="128" t="s">
        <v>142</v>
      </c>
      <c r="C156" s="120"/>
      <c r="D156" s="117"/>
      <c r="E156" s="117"/>
      <c r="F156" s="117"/>
      <c r="G156" s="117"/>
      <c r="H156" s="117"/>
      <c r="I156" s="117"/>
      <c r="J156" s="117"/>
    </row>
    <row r="157" spans="1:10" ht="13.5" customHeight="1" x14ac:dyDescent="0.2">
      <c r="A157" s="116"/>
      <c r="B157" s="128" t="s">
        <v>143</v>
      </c>
      <c r="C157" s="120">
        <f>SUM(F157)</f>
        <v>7022346.1600000001</v>
      </c>
      <c r="D157" s="117">
        <v>0</v>
      </c>
      <c r="E157" s="117">
        <v>0</v>
      </c>
      <c r="F157" s="117">
        <f>SUM(J157)</f>
        <v>7022346.1600000001</v>
      </c>
      <c r="G157" s="117">
        <v>0</v>
      </c>
      <c r="H157" s="117">
        <v>0</v>
      </c>
      <c r="I157" s="117">
        <v>0</v>
      </c>
      <c r="J157" s="117">
        <v>7022346.1600000001</v>
      </c>
    </row>
    <row r="158" spans="1:10" ht="11.25" customHeight="1" x14ac:dyDescent="0.2">
      <c r="A158" s="125" t="s">
        <v>214</v>
      </c>
      <c r="B158" s="105" t="s">
        <v>96</v>
      </c>
      <c r="C158" s="127">
        <f>SUM(C159:C166)</f>
        <v>44624865.43</v>
      </c>
      <c r="D158" s="127">
        <f t="shared" ref="D158:J158" si="18">SUM(D159:D166)</f>
        <v>0</v>
      </c>
      <c r="E158" s="127">
        <f t="shared" si="18"/>
        <v>0</v>
      </c>
      <c r="F158" s="127">
        <f t="shared" si="18"/>
        <v>44624865.43</v>
      </c>
      <c r="G158" s="127">
        <f t="shared" si="18"/>
        <v>38838342.789999999</v>
      </c>
      <c r="H158" s="127">
        <f t="shared" si="18"/>
        <v>0</v>
      </c>
      <c r="I158" s="127">
        <f t="shared" si="18"/>
        <v>0</v>
      </c>
      <c r="J158" s="127">
        <f t="shared" si="18"/>
        <v>5786522.6400000006</v>
      </c>
    </row>
    <row r="159" spans="1:10" ht="11.25" customHeight="1" x14ac:dyDescent="0.2">
      <c r="A159" s="116" t="s">
        <v>203</v>
      </c>
      <c r="B159" s="128" t="s">
        <v>204</v>
      </c>
      <c r="C159" s="120"/>
      <c r="D159" s="117"/>
      <c r="E159" s="135"/>
      <c r="F159" s="135"/>
      <c r="G159" s="135"/>
      <c r="H159" s="135"/>
      <c r="I159" s="135"/>
      <c r="J159" s="135"/>
    </row>
    <row r="160" spans="1:10" ht="11.25" customHeight="1" x14ac:dyDescent="0.2">
      <c r="A160" s="116"/>
      <c r="B160" s="128" t="s">
        <v>205</v>
      </c>
      <c r="C160" s="120"/>
      <c r="D160" s="117"/>
      <c r="E160" s="135"/>
      <c r="F160" s="135"/>
      <c r="G160" s="135"/>
      <c r="H160" s="135"/>
      <c r="I160" s="135"/>
      <c r="J160" s="135"/>
    </row>
    <row r="161" spans="1:10" ht="11.25" customHeight="1" x14ac:dyDescent="0.2">
      <c r="A161" s="116"/>
      <c r="B161" s="128" t="s">
        <v>206</v>
      </c>
      <c r="C161" s="120"/>
      <c r="D161" s="117"/>
      <c r="E161" s="135"/>
      <c r="F161" s="135"/>
      <c r="G161" s="135"/>
      <c r="H161" s="135"/>
      <c r="I161" s="135"/>
      <c r="J161" s="135"/>
    </row>
    <row r="162" spans="1:10" ht="11.25" customHeight="1" x14ac:dyDescent="0.2">
      <c r="A162" s="116"/>
      <c r="B162" s="128" t="s">
        <v>207</v>
      </c>
      <c r="C162" s="120">
        <f>SUM(F162)</f>
        <v>38838342.789999999</v>
      </c>
      <c r="D162" s="117">
        <v>0</v>
      </c>
      <c r="E162" s="117">
        <v>0</v>
      </c>
      <c r="F162" s="117">
        <f>SUM(G162)</f>
        <v>38838342.789999999</v>
      </c>
      <c r="G162" s="117">
        <f>5260570.09+4746770.6+2395634.63+32221890.11-1272926.27-4513596.37</f>
        <v>38838342.789999999</v>
      </c>
      <c r="H162" s="117">
        <v>0</v>
      </c>
      <c r="I162" s="117">
        <v>0</v>
      </c>
      <c r="J162" s="117">
        <v>0</v>
      </c>
    </row>
    <row r="163" spans="1:10" ht="11.25" customHeight="1" x14ac:dyDescent="0.2">
      <c r="A163" s="116" t="s">
        <v>215</v>
      </c>
      <c r="B163" s="128" t="s">
        <v>204</v>
      </c>
      <c r="C163" s="120"/>
      <c r="D163" s="117"/>
      <c r="E163" s="117"/>
      <c r="F163" s="117"/>
      <c r="G163" s="117"/>
      <c r="H163" s="117"/>
      <c r="I163" s="117"/>
      <c r="J163" s="117"/>
    </row>
    <row r="164" spans="1:10" ht="11.25" customHeight="1" x14ac:dyDescent="0.2">
      <c r="A164" s="116"/>
      <c r="B164" s="128" t="s">
        <v>205</v>
      </c>
      <c r="C164" s="120"/>
      <c r="D164" s="117"/>
      <c r="E164" s="117"/>
      <c r="F164" s="117"/>
      <c r="G164" s="117"/>
      <c r="H164" s="117"/>
      <c r="I164" s="117"/>
      <c r="J164" s="117"/>
    </row>
    <row r="165" spans="1:10" ht="11.25" customHeight="1" x14ac:dyDescent="0.2">
      <c r="A165" s="116"/>
      <c r="B165" s="128" t="s">
        <v>206</v>
      </c>
      <c r="C165" s="120"/>
      <c r="D165" s="117"/>
      <c r="E165" s="117"/>
      <c r="F165" s="117"/>
      <c r="G165" s="117"/>
      <c r="H165" s="117"/>
      <c r="I165" s="117"/>
      <c r="J165" s="117"/>
    </row>
    <row r="166" spans="1:10" ht="11.25" customHeight="1" x14ac:dyDescent="0.2">
      <c r="A166" s="116"/>
      <c r="B166" s="128" t="s">
        <v>207</v>
      </c>
      <c r="C166" s="120">
        <f>SUM(F166)</f>
        <v>5786522.6400000006</v>
      </c>
      <c r="D166" s="117">
        <v>0</v>
      </c>
      <c r="E166" s="117">
        <v>0</v>
      </c>
      <c r="F166" s="117">
        <f>SUM(J166)</f>
        <v>5786522.6400000006</v>
      </c>
      <c r="G166" s="117">
        <v>0</v>
      </c>
      <c r="H166" s="117">
        <v>0</v>
      </c>
      <c r="I166" s="117">
        <v>0</v>
      </c>
      <c r="J166" s="117">
        <f>1272926.27+4513596.37</f>
        <v>5786522.6400000006</v>
      </c>
    </row>
    <row r="167" spans="1:10" ht="11.25" customHeight="1" thickBot="1" x14ac:dyDescent="0.25">
      <c r="A167" s="122" t="s">
        <v>30</v>
      </c>
      <c r="B167" s="124" t="s">
        <v>31</v>
      </c>
      <c r="C167" s="112">
        <f t="shared" ref="C167:J167" si="19">SUM(C168,C172)</f>
        <v>3040370</v>
      </c>
      <c r="D167" s="112">
        <f t="shared" si="19"/>
        <v>3040370</v>
      </c>
      <c r="E167" s="112">
        <f t="shared" si="19"/>
        <v>0</v>
      </c>
      <c r="F167" s="112">
        <f t="shared" si="19"/>
        <v>0</v>
      </c>
      <c r="G167" s="112">
        <f t="shared" si="19"/>
        <v>0</v>
      </c>
      <c r="H167" s="112">
        <f t="shared" si="19"/>
        <v>0</v>
      </c>
      <c r="I167" s="112">
        <f t="shared" si="19"/>
        <v>0</v>
      </c>
      <c r="J167" s="112">
        <f t="shared" si="19"/>
        <v>0</v>
      </c>
    </row>
    <row r="168" spans="1:10" ht="11.25" customHeight="1" thickTop="1" x14ac:dyDescent="0.2">
      <c r="A168" s="125" t="s">
        <v>216</v>
      </c>
      <c r="B168" s="105" t="s">
        <v>217</v>
      </c>
      <c r="C168" s="127">
        <f>SUM(C171:C171)</f>
        <v>370</v>
      </c>
      <c r="D168" s="127">
        <f t="shared" ref="D168:J168" si="20">SUM(D171:D171)</f>
        <v>370</v>
      </c>
      <c r="E168" s="127">
        <f t="shared" si="20"/>
        <v>0</v>
      </c>
      <c r="F168" s="127">
        <f t="shared" si="20"/>
        <v>0</v>
      </c>
      <c r="G168" s="127">
        <f t="shared" si="20"/>
        <v>0</v>
      </c>
      <c r="H168" s="127">
        <f t="shared" si="20"/>
        <v>0</v>
      </c>
      <c r="I168" s="127">
        <f t="shared" si="20"/>
        <v>0</v>
      </c>
      <c r="J168" s="127">
        <f t="shared" si="20"/>
        <v>0</v>
      </c>
    </row>
    <row r="169" spans="1:10" ht="11.25" customHeight="1" x14ac:dyDescent="0.2">
      <c r="A169" s="116" t="s">
        <v>190</v>
      </c>
      <c r="B169" s="121" t="s">
        <v>191</v>
      </c>
      <c r="C169" s="117"/>
      <c r="D169" s="117"/>
      <c r="E169" s="121"/>
      <c r="F169" s="121"/>
      <c r="G169" s="121"/>
      <c r="H169" s="121"/>
      <c r="I169" s="121"/>
      <c r="J169" s="121"/>
    </row>
    <row r="170" spans="1:10" ht="11.25" customHeight="1" x14ac:dyDescent="0.2">
      <c r="A170" s="148"/>
      <c r="B170" s="121" t="s">
        <v>192</v>
      </c>
      <c r="C170" s="117"/>
      <c r="D170" s="117"/>
      <c r="E170" s="117"/>
      <c r="F170" s="117"/>
      <c r="G170" s="117"/>
      <c r="H170" s="117"/>
      <c r="I170" s="117"/>
      <c r="J170" s="117"/>
    </row>
    <row r="171" spans="1:10" ht="11.25" customHeight="1" x14ac:dyDescent="0.2">
      <c r="A171" s="148"/>
      <c r="B171" s="121" t="s">
        <v>193</v>
      </c>
      <c r="C171" s="120">
        <f>SUM(D171:F171)</f>
        <v>370</v>
      </c>
      <c r="D171" s="117">
        <v>370</v>
      </c>
      <c r="E171" s="117">
        <v>0</v>
      </c>
      <c r="F171" s="117">
        <v>0</v>
      </c>
      <c r="G171" s="117">
        <v>0</v>
      </c>
      <c r="H171" s="117">
        <v>0</v>
      </c>
      <c r="I171" s="117">
        <v>0</v>
      </c>
      <c r="J171" s="117">
        <v>0</v>
      </c>
    </row>
    <row r="172" spans="1:10" ht="11.25" customHeight="1" x14ac:dyDescent="0.2">
      <c r="A172" s="125" t="s">
        <v>218</v>
      </c>
      <c r="B172" s="105" t="s">
        <v>219</v>
      </c>
      <c r="C172" s="127">
        <f t="shared" ref="C172:J172" si="21">SUM(C173:C176)</f>
        <v>3040000</v>
      </c>
      <c r="D172" s="127">
        <f t="shared" si="21"/>
        <v>3040000</v>
      </c>
      <c r="E172" s="127">
        <f t="shared" si="21"/>
        <v>0</v>
      </c>
      <c r="F172" s="127">
        <f t="shared" si="21"/>
        <v>0</v>
      </c>
      <c r="G172" s="127">
        <f t="shared" si="21"/>
        <v>0</v>
      </c>
      <c r="H172" s="127">
        <f t="shared" si="21"/>
        <v>0</v>
      </c>
      <c r="I172" s="127">
        <f t="shared" si="21"/>
        <v>0</v>
      </c>
      <c r="J172" s="127">
        <f t="shared" si="21"/>
        <v>0</v>
      </c>
    </row>
    <row r="173" spans="1:10" ht="11.25" customHeight="1" x14ac:dyDescent="0.2">
      <c r="A173" s="116" t="s">
        <v>113</v>
      </c>
      <c r="B173" s="121" t="s">
        <v>114</v>
      </c>
      <c r="C173" s="120">
        <f>SUM(D173:F173)</f>
        <v>3000000</v>
      </c>
      <c r="D173" s="117">
        <v>3000000</v>
      </c>
      <c r="E173" s="117">
        <v>0</v>
      </c>
      <c r="F173" s="117">
        <v>0</v>
      </c>
      <c r="G173" s="117">
        <v>0</v>
      </c>
      <c r="H173" s="117">
        <v>0</v>
      </c>
      <c r="I173" s="117">
        <v>0</v>
      </c>
      <c r="J173" s="117">
        <v>0</v>
      </c>
    </row>
    <row r="174" spans="1:10" ht="11.25" customHeight="1" x14ac:dyDescent="0.2">
      <c r="A174" s="116" t="s">
        <v>220</v>
      </c>
      <c r="B174" s="121" t="s">
        <v>221</v>
      </c>
      <c r="C174" s="117"/>
      <c r="D174" s="117"/>
      <c r="E174" s="117"/>
      <c r="F174" s="117"/>
      <c r="G174" s="117"/>
      <c r="H174" s="117"/>
      <c r="I174" s="117"/>
      <c r="J174" s="117"/>
    </row>
    <row r="175" spans="1:10" ht="11.25" customHeight="1" x14ac:dyDescent="0.2">
      <c r="A175" s="133"/>
      <c r="B175" s="121" t="s">
        <v>222</v>
      </c>
      <c r="C175" s="117"/>
      <c r="D175" s="117"/>
      <c r="E175" s="117"/>
      <c r="F175" s="117"/>
      <c r="G175" s="117"/>
      <c r="H175" s="117"/>
      <c r="I175" s="117"/>
      <c r="J175" s="117"/>
    </row>
    <row r="176" spans="1:10" ht="11.25" customHeight="1" x14ac:dyDescent="0.2">
      <c r="A176" s="125"/>
      <c r="B176" s="105" t="s">
        <v>223</v>
      </c>
      <c r="C176" s="127">
        <f>SUM(D176:F176)</f>
        <v>40000</v>
      </c>
      <c r="D176" s="147">
        <v>40000</v>
      </c>
      <c r="E176" s="147">
        <v>0</v>
      </c>
      <c r="F176" s="147">
        <v>0</v>
      </c>
      <c r="G176" s="147">
        <v>0</v>
      </c>
      <c r="H176" s="147">
        <v>0</v>
      </c>
      <c r="I176" s="147">
        <v>0</v>
      </c>
      <c r="J176" s="147">
        <v>0</v>
      </c>
    </row>
    <row r="177" spans="1:10" ht="11.25" customHeight="1" thickBot="1" x14ac:dyDescent="0.25">
      <c r="A177" s="110" t="s">
        <v>32</v>
      </c>
      <c r="B177" s="153" t="s">
        <v>33</v>
      </c>
      <c r="C177" s="154">
        <f>SUM(C178,C182,C215,C218,)</f>
        <v>16177579.109999999</v>
      </c>
      <c r="D177" s="154">
        <f t="shared" ref="D177:J177" si="22">SUM(D178,D182,D215,D218,)</f>
        <v>679260.25</v>
      </c>
      <c r="E177" s="154">
        <f t="shared" si="22"/>
        <v>312660.25</v>
      </c>
      <c r="F177" s="154">
        <f t="shared" si="22"/>
        <v>15498318.859999999</v>
      </c>
      <c r="G177" s="154">
        <f t="shared" si="22"/>
        <v>8726621.6799999997</v>
      </c>
      <c r="H177" s="154">
        <f t="shared" si="22"/>
        <v>0</v>
      </c>
      <c r="I177" s="154">
        <f t="shared" si="22"/>
        <v>0</v>
      </c>
      <c r="J177" s="154">
        <f t="shared" si="22"/>
        <v>6771697.1799999997</v>
      </c>
    </row>
    <row r="178" spans="1:10" ht="11.25" customHeight="1" thickTop="1" x14ac:dyDescent="0.2">
      <c r="A178" s="113" t="s">
        <v>224</v>
      </c>
      <c r="B178" s="105" t="s">
        <v>225</v>
      </c>
      <c r="C178" s="127">
        <f t="shared" ref="C178:J178" si="23">SUM(C179:C181)</f>
        <v>1500</v>
      </c>
      <c r="D178" s="127">
        <f t="shared" si="23"/>
        <v>1500</v>
      </c>
      <c r="E178" s="127">
        <f t="shared" si="23"/>
        <v>0</v>
      </c>
      <c r="F178" s="127">
        <f t="shared" si="23"/>
        <v>0</v>
      </c>
      <c r="G178" s="127">
        <f t="shared" si="23"/>
        <v>0</v>
      </c>
      <c r="H178" s="127">
        <f t="shared" si="23"/>
        <v>0</v>
      </c>
      <c r="I178" s="127">
        <f t="shared" si="23"/>
        <v>0</v>
      </c>
      <c r="J178" s="127">
        <f t="shared" si="23"/>
        <v>0</v>
      </c>
    </row>
    <row r="179" spans="1:10" ht="11.25" customHeight="1" x14ac:dyDescent="0.2">
      <c r="A179" s="116" t="s">
        <v>190</v>
      </c>
      <c r="B179" s="121" t="s">
        <v>191</v>
      </c>
      <c r="C179" s="117"/>
      <c r="D179" s="117"/>
      <c r="E179" s="117"/>
      <c r="F179" s="117"/>
      <c r="G179" s="117"/>
      <c r="H179" s="117"/>
      <c r="I179" s="117"/>
      <c r="J179" s="117"/>
    </row>
    <row r="180" spans="1:10" ht="11.25" customHeight="1" x14ac:dyDescent="0.2">
      <c r="A180" s="133"/>
      <c r="B180" s="121" t="s">
        <v>226</v>
      </c>
      <c r="C180" s="117"/>
      <c r="D180" s="117"/>
      <c r="E180" s="117"/>
      <c r="F180" s="117"/>
      <c r="G180" s="117"/>
      <c r="H180" s="117"/>
      <c r="I180" s="117"/>
      <c r="J180" s="117"/>
    </row>
    <row r="181" spans="1:10" ht="11.25" customHeight="1" x14ac:dyDescent="0.2">
      <c r="A181" s="133"/>
      <c r="B181" s="121" t="s">
        <v>193</v>
      </c>
      <c r="C181" s="120">
        <f>SUM(D181:F181)</f>
        <v>1500</v>
      </c>
      <c r="D181" s="120">
        <v>1500</v>
      </c>
      <c r="E181" s="117">
        <v>0</v>
      </c>
      <c r="F181" s="117">
        <v>0</v>
      </c>
      <c r="G181" s="117">
        <v>0</v>
      </c>
      <c r="H181" s="117">
        <v>0</v>
      </c>
      <c r="I181" s="117">
        <v>0</v>
      </c>
      <c r="J181" s="155">
        <v>0</v>
      </c>
    </row>
    <row r="182" spans="1:10" ht="11.25" customHeight="1" x14ac:dyDescent="0.2">
      <c r="A182" s="125" t="s">
        <v>227</v>
      </c>
      <c r="B182" s="105" t="s">
        <v>228</v>
      </c>
      <c r="C182" s="127">
        <f t="shared" ref="C182:J182" si="24">SUM(C184:C214)</f>
        <v>1651458.1</v>
      </c>
      <c r="D182" s="127">
        <f t="shared" si="24"/>
        <v>424503</v>
      </c>
      <c r="E182" s="127">
        <f t="shared" si="24"/>
        <v>221403</v>
      </c>
      <c r="F182" s="127">
        <f t="shared" si="24"/>
        <v>1226955.1000000001</v>
      </c>
      <c r="G182" s="127">
        <f t="shared" si="24"/>
        <v>0</v>
      </c>
      <c r="H182" s="127">
        <f t="shared" si="24"/>
        <v>0</v>
      </c>
      <c r="I182" s="127">
        <f t="shared" si="24"/>
        <v>0</v>
      </c>
      <c r="J182" s="127">
        <f t="shared" si="24"/>
        <v>1226955.1000000001</v>
      </c>
    </row>
    <row r="183" spans="1:10" ht="11.25" customHeight="1" x14ac:dyDescent="0.2">
      <c r="A183" s="116" t="s">
        <v>152</v>
      </c>
      <c r="B183" s="121" t="s">
        <v>153</v>
      </c>
      <c r="C183" s="117"/>
      <c r="D183" s="117"/>
      <c r="E183" s="117"/>
      <c r="F183" s="117"/>
      <c r="G183" s="117"/>
      <c r="H183" s="117"/>
      <c r="I183" s="117"/>
      <c r="J183" s="117"/>
    </row>
    <row r="184" spans="1:10" ht="11.25" customHeight="1" x14ac:dyDescent="0.2">
      <c r="A184" s="143"/>
      <c r="B184" s="121" t="s">
        <v>154</v>
      </c>
      <c r="C184" s="120">
        <f>SUM(D184,F184)</f>
        <v>180000</v>
      </c>
      <c r="D184" s="117">
        <v>180000</v>
      </c>
      <c r="E184" s="117">
        <v>0</v>
      </c>
      <c r="F184" s="117">
        <f>SUM(G184:J184)</f>
        <v>0</v>
      </c>
      <c r="G184" s="117">
        <v>0</v>
      </c>
      <c r="H184" s="117">
        <v>0</v>
      </c>
      <c r="I184" s="117">
        <v>0</v>
      </c>
      <c r="J184" s="117">
        <v>0</v>
      </c>
    </row>
    <row r="185" spans="1:10" ht="11.25" customHeight="1" x14ac:dyDescent="0.2">
      <c r="A185" s="116" t="s">
        <v>99</v>
      </c>
      <c r="B185" s="121" t="s">
        <v>172</v>
      </c>
      <c r="C185" s="117"/>
      <c r="D185" s="117"/>
      <c r="E185" s="117"/>
      <c r="F185" s="117"/>
      <c r="G185" s="117"/>
      <c r="H185" s="117"/>
      <c r="I185" s="117"/>
      <c r="J185" s="117"/>
    </row>
    <row r="186" spans="1:10" ht="11.25" customHeight="1" x14ac:dyDescent="0.2">
      <c r="A186" s="143"/>
      <c r="B186" s="121" t="s">
        <v>173</v>
      </c>
      <c r="C186" s="117"/>
      <c r="D186" s="117"/>
      <c r="E186" s="117"/>
      <c r="F186" s="117"/>
      <c r="G186" s="117"/>
      <c r="H186" s="117"/>
      <c r="I186" s="117"/>
      <c r="J186" s="117"/>
    </row>
    <row r="187" spans="1:10" ht="11.25" customHeight="1" x14ac:dyDescent="0.2">
      <c r="A187" s="143"/>
      <c r="B187" s="121" t="s">
        <v>174</v>
      </c>
      <c r="C187" s="117"/>
      <c r="D187" s="117"/>
      <c r="E187" s="117"/>
      <c r="F187" s="117"/>
      <c r="G187" s="117"/>
      <c r="H187" s="117"/>
      <c r="I187" s="117"/>
      <c r="J187" s="117"/>
    </row>
    <row r="188" spans="1:10" ht="11.25" customHeight="1" x14ac:dyDescent="0.2">
      <c r="A188" s="143"/>
      <c r="B188" s="121" t="s">
        <v>175</v>
      </c>
      <c r="C188" s="120">
        <f>SUM(D188:F188)</f>
        <v>9100</v>
      </c>
      <c r="D188" s="117">
        <v>9100</v>
      </c>
      <c r="E188" s="117">
        <v>0</v>
      </c>
      <c r="F188" s="117">
        <v>0</v>
      </c>
      <c r="G188" s="117">
        <v>0</v>
      </c>
      <c r="H188" s="117">
        <v>0</v>
      </c>
      <c r="I188" s="117">
        <v>0</v>
      </c>
      <c r="J188" s="117">
        <v>0</v>
      </c>
    </row>
    <row r="189" spans="1:10" ht="11.25" customHeight="1" x14ac:dyDescent="0.2">
      <c r="A189" s="116" t="s">
        <v>121</v>
      </c>
      <c r="B189" s="121" t="s">
        <v>122</v>
      </c>
      <c r="C189" s="120">
        <f>SUM(D189:F189)</f>
        <v>14000</v>
      </c>
      <c r="D189" s="117">
        <v>14000</v>
      </c>
      <c r="E189" s="117">
        <v>0</v>
      </c>
      <c r="F189" s="117">
        <v>0</v>
      </c>
      <c r="G189" s="117">
        <v>0</v>
      </c>
      <c r="H189" s="117">
        <v>0</v>
      </c>
      <c r="I189" s="117">
        <v>0</v>
      </c>
      <c r="J189" s="117">
        <v>0</v>
      </c>
    </row>
    <row r="190" spans="1:10" ht="11.25" customHeight="1" x14ac:dyDescent="0.2">
      <c r="A190" s="116" t="s">
        <v>229</v>
      </c>
      <c r="B190" s="132" t="s">
        <v>230</v>
      </c>
      <c r="C190" s="120"/>
      <c r="D190" s="117"/>
      <c r="E190" s="117"/>
      <c r="F190" s="117"/>
      <c r="G190" s="117"/>
      <c r="H190" s="117"/>
      <c r="I190" s="117"/>
      <c r="J190" s="117"/>
    </row>
    <row r="191" spans="1:10" ht="10.5" customHeight="1" x14ac:dyDescent="0.2">
      <c r="A191" s="133"/>
      <c r="B191" s="132" t="s">
        <v>231</v>
      </c>
      <c r="C191" s="120"/>
      <c r="D191" s="117"/>
      <c r="E191" s="117"/>
      <c r="F191" s="117"/>
      <c r="G191" s="117"/>
      <c r="H191" s="117"/>
      <c r="I191" s="117"/>
      <c r="J191" s="117"/>
    </row>
    <row r="192" spans="1:10" ht="10.5" customHeight="1" x14ac:dyDescent="0.2">
      <c r="A192" s="133"/>
      <c r="B192" s="132" t="s">
        <v>232</v>
      </c>
      <c r="C192" s="120"/>
      <c r="D192" s="117"/>
      <c r="E192" s="117"/>
      <c r="F192" s="117"/>
      <c r="G192" s="117"/>
      <c r="H192" s="117"/>
      <c r="I192" s="117"/>
      <c r="J192" s="117"/>
    </row>
    <row r="193" spans="1:10" ht="10.5" customHeight="1" x14ac:dyDescent="0.2">
      <c r="A193" s="133"/>
      <c r="B193" s="132" t="s">
        <v>129</v>
      </c>
      <c r="C193" s="120"/>
      <c r="D193" s="117"/>
      <c r="E193" s="117"/>
      <c r="F193" s="117"/>
      <c r="G193" s="117"/>
      <c r="H193" s="117"/>
      <c r="I193" s="117"/>
      <c r="J193" s="117"/>
    </row>
    <row r="194" spans="1:10" ht="10.5" customHeight="1" x14ac:dyDescent="0.2">
      <c r="A194" s="133"/>
      <c r="B194" s="132" t="s">
        <v>233</v>
      </c>
      <c r="C194" s="120">
        <f>SUM(D194)</f>
        <v>188192.55</v>
      </c>
      <c r="D194" s="117">
        <f>E194</f>
        <v>188192.55</v>
      </c>
      <c r="E194" s="117">
        <v>188192.55</v>
      </c>
      <c r="F194" s="117">
        <v>0</v>
      </c>
      <c r="G194" s="117">
        <v>0</v>
      </c>
      <c r="H194" s="117">
        <v>0</v>
      </c>
      <c r="I194" s="117">
        <v>0</v>
      </c>
      <c r="J194" s="117">
        <v>0</v>
      </c>
    </row>
    <row r="195" spans="1:10" ht="11.25" customHeight="1" x14ac:dyDescent="0.2">
      <c r="A195" s="116" t="s">
        <v>234</v>
      </c>
      <c r="B195" s="132" t="s">
        <v>230</v>
      </c>
      <c r="C195" s="120"/>
      <c r="D195" s="117"/>
      <c r="E195" s="117"/>
      <c r="F195" s="117"/>
      <c r="G195" s="117"/>
      <c r="H195" s="117"/>
      <c r="I195" s="117"/>
      <c r="J195" s="117"/>
    </row>
    <row r="196" spans="1:10" ht="11.25" customHeight="1" x14ac:dyDescent="0.2">
      <c r="A196" s="133"/>
      <c r="B196" s="132" t="s">
        <v>231</v>
      </c>
      <c r="C196" s="120"/>
      <c r="D196" s="117"/>
      <c r="E196" s="117"/>
      <c r="F196" s="117"/>
      <c r="G196" s="117"/>
      <c r="H196" s="117"/>
      <c r="I196" s="117"/>
      <c r="J196" s="117"/>
    </row>
    <row r="197" spans="1:10" ht="10.5" customHeight="1" x14ac:dyDescent="0.2">
      <c r="A197" s="133"/>
      <c r="B197" s="132" t="s">
        <v>232</v>
      </c>
      <c r="C197" s="120"/>
      <c r="D197" s="117"/>
      <c r="E197" s="117"/>
      <c r="F197" s="117"/>
      <c r="G197" s="117"/>
      <c r="H197" s="117"/>
      <c r="I197" s="117"/>
      <c r="J197" s="117"/>
    </row>
    <row r="198" spans="1:10" ht="11.25" customHeight="1" x14ac:dyDescent="0.2">
      <c r="A198" s="133"/>
      <c r="B198" s="132" t="s">
        <v>129</v>
      </c>
      <c r="C198" s="120"/>
      <c r="D198" s="117"/>
      <c r="E198" s="117"/>
      <c r="F198" s="117"/>
      <c r="G198" s="117"/>
      <c r="H198" s="117"/>
      <c r="I198" s="117"/>
      <c r="J198" s="117"/>
    </row>
    <row r="199" spans="1:10" ht="11.25" customHeight="1" x14ac:dyDescent="0.2">
      <c r="A199" s="133"/>
      <c r="B199" s="132" t="s">
        <v>233</v>
      </c>
      <c r="C199" s="120">
        <f>SUM(D199)</f>
        <v>33210.449999999997</v>
      </c>
      <c r="D199" s="117">
        <f>E199</f>
        <v>33210.449999999997</v>
      </c>
      <c r="E199" s="117">
        <v>33210.449999999997</v>
      </c>
      <c r="F199" s="117">
        <v>0</v>
      </c>
      <c r="G199" s="117">
        <v>0</v>
      </c>
      <c r="H199" s="117">
        <v>0</v>
      </c>
      <c r="I199" s="117">
        <v>0</v>
      </c>
      <c r="J199" s="117">
        <v>0</v>
      </c>
    </row>
    <row r="200" spans="1:10" ht="11.25" customHeight="1" x14ac:dyDescent="0.2">
      <c r="A200" s="116" t="s">
        <v>131</v>
      </c>
      <c r="B200" s="132" t="s">
        <v>126</v>
      </c>
      <c r="C200" s="120"/>
      <c r="D200" s="120"/>
      <c r="E200" s="120"/>
      <c r="F200" s="120"/>
      <c r="G200" s="120"/>
      <c r="H200" s="120"/>
      <c r="I200" s="120"/>
      <c r="J200" s="120"/>
    </row>
    <row r="201" spans="1:10" ht="11.25" customHeight="1" x14ac:dyDescent="0.2">
      <c r="A201" s="133"/>
      <c r="B201" s="132" t="s">
        <v>127</v>
      </c>
      <c r="C201" s="120"/>
      <c r="D201" s="120"/>
      <c r="E201" s="120"/>
      <c r="F201" s="120"/>
      <c r="G201" s="120"/>
      <c r="H201" s="120"/>
      <c r="I201" s="120"/>
      <c r="J201" s="120"/>
    </row>
    <row r="202" spans="1:10" ht="11.25" customHeight="1" x14ac:dyDescent="0.2">
      <c r="A202" s="133"/>
      <c r="B202" s="132" t="s">
        <v>128</v>
      </c>
      <c r="C202" s="120"/>
      <c r="D202" s="120"/>
      <c r="E202" s="120"/>
      <c r="F202" s="120"/>
      <c r="G202" s="120"/>
      <c r="H202" s="120"/>
      <c r="I202" s="120"/>
      <c r="J202" s="120"/>
    </row>
    <row r="203" spans="1:10" ht="11.25" customHeight="1" x14ac:dyDescent="0.2">
      <c r="A203" s="133"/>
      <c r="B203" s="132" t="s">
        <v>129</v>
      </c>
      <c r="C203" s="120"/>
      <c r="D203" s="120"/>
      <c r="E203" s="120"/>
      <c r="F203" s="120"/>
      <c r="G203" s="120"/>
      <c r="H203" s="120"/>
      <c r="I203" s="120"/>
      <c r="J203" s="120"/>
    </row>
    <row r="204" spans="1:10" ht="11.25" customHeight="1" x14ac:dyDescent="0.2">
      <c r="A204" s="133"/>
      <c r="B204" s="135" t="s">
        <v>130</v>
      </c>
      <c r="C204" s="120">
        <f>SUM(F204,D204)</f>
        <v>226944.9</v>
      </c>
      <c r="D204" s="120">
        <v>0</v>
      </c>
      <c r="E204" s="120">
        <v>0</v>
      </c>
      <c r="F204" s="120">
        <f>SUM(G204:J204)</f>
        <v>226944.9</v>
      </c>
      <c r="G204" s="120">
        <v>0</v>
      </c>
      <c r="H204" s="120">
        <v>0</v>
      </c>
      <c r="I204" s="120">
        <v>0</v>
      </c>
      <c r="J204" s="120">
        <v>226944.9</v>
      </c>
    </row>
    <row r="205" spans="1:10" ht="11.25" customHeight="1" x14ac:dyDescent="0.2">
      <c r="A205" s="116" t="s">
        <v>235</v>
      </c>
      <c r="B205" s="132" t="s">
        <v>126</v>
      </c>
      <c r="C205" s="120"/>
      <c r="D205" s="120"/>
      <c r="E205" s="120"/>
      <c r="F205" s="120"/>
      <c r="G205" s="120"/>
      <c r="H205" s="120"/>
      <c r="I205" s="120"/>
      <c r="J205" s="120"/>
    </row>
    <row r="206" spans="1:10" ht="11.25" customHeight="1" x14ac:dyDescent="0.2">
      <c r="A206" s="133"/>
      <c r="B206" s="132" t="s">
        <v>127</v>
      </c>
      <c r="C206" s="120"/>
      <c r="D206" s="120"/>
      <c r="E206" s="120"/>
      <c r="F206" s="120"/>
      <c r="G206" s="120"/>
      <c r="H206" s="120"/>
      <c r="I206" s="120"/>
      <c r="J206" s="120"/>
    </row>
    <row r="207" spans="1:10" ht="11.25" customHeight="1" x14ac:dyDescent="0.2">
      <c r="A207" s="133"/>
      <c r="B207" s="132" t="s">
        <v>128</v>
      </c>
      <c r="C207" s="120"/>
      <c r="D207" s="120"/>
      <c r="E207" s="120"/>
      <c r="F207" s="120"/>
      <c r="G207" s="120"/>
      <c r="H207" s="120"/>
      <c r="I207" s="120"/>
      <c r="J207" s="120"/>
    </row>
    <row r="208" spans="1:10" ht="11.25" customHeight="1" x14ac:dyDescent="0.2">
      <c r="A208" s="133"/>
      <c r="B208" s="132" t="s">
        <v>129</v>
      </c>
      <c r="C208" s="120"/>
      <c r="D208" s="120"/>
      <c r="E208" s="120"/>
      <c r="F208" s="120"/>
      <c r="G208" s="120"/>
      <c r="H208" s="120"/>
      <c r="I208" s="120"/>
      <c r="J208" s="120"/>
    </row>
    <row r="209" spans="1:10" ht="11.25" customHeight="1" x14ac:dyDescent="0.2">
      <c r="A209" s="133"/>
      <c r="B209" s="135" t="s">
        <v>130</v>
      </c>
      <c r="C209" s="120">
        <f>SUM(F209,D209)</f>
        <v>40049.1</v>
      </c>
      <c r="D209" s="120">
        <v>0</v>
      </c>
      <c r="E209" s="120">
        <v>0</v>
      </c>
      <c r="F209" s="120">
        <f>SUM(G209:J209)</f>
        <v>40049.1</v>
      </c>
      <c r="G209" s="120">
        <v>0</v>
      </c>
      <c r="H209" s="120">
        <v>0</v>
      </c>
      <c r="I209" s="120">
        <v>0</v>
      </c>
      <c r="J209" s="120">
        <v>40049.1</v>
      </c>
    </row>
    <row r="210" spans="1:10" ht="11.25" customHeight="1" x14ac:dyDescent="0.2">
      <c r="A210" s="130" t="s">
        <v>132</v>
      </c>
      <c r="B210" s="121" t="s">
        <v>133</v>
      </c>
      <c r="C210" s="120"/>
      <c r="D210" s="120"/>
      <c r="E210" s="120"/>
      <c r="F210" s="120"/>
      <c r="G210" s="120"/>
      <c r="H210" s="120"/>
      <c r="I210" s="120"/>
      <c r="J210" s="120"/>
    </row>
    <row r="211" spans="1:10" ht="11.25" customHeight="1" x14ac:dyDescent="0.2">
      <c r="A211" s="130"/>
      <c r="B211" s="121" t="s">
        <v>134</v>
      </c>
      <c r="C211" s="120"/>
      <c r="D211" s="120"/>
      <c r="E211" s="120"/>
      <c r="F211" s="120"/>
      <c r="G211" s="120"/>
      <c r="H211" s="120"/>
      <c r="I211" s="120"/>
      <c r="J211" s="120"/>
    </row>
    <row r="212" spans="1:10" ht="11.25" customHeight="1" x14ac:dyDescent="0.2">
      <c r="A212" s="130"/>
      <c r="B212" s="121" t="s">
        <v>135</v>
      </c>
      <c r="C212" s="120"/>
      <c r="D212" s="120"/>
      <c r="E212" s="120"/>
      <c r="F212" s="120"/>
      <c r="G212" s="120"/>
      <c r="H212" s="120"/>
      <c r="I212" s="120"/>
      <c r="J212" s="120"/>
    </row>
    <row r="213" spans="1:10" ht="11.25" customHeight="1" x14ac:dyDescent="0.2">
      <c r="A213" s="130"/>
      <c r="B213" s="121" t="s">
        <v>136</v>
      </c>
      <c r="C213" s="120"/>
      <c r="D213" s="120"/>
      <c r="E213" s="120"/>
      <c r="F213" s="120"/>
      <c r="G213" s="120"/>
      <c r="H213" s="120"/>
      <c r="I213" s="120"/>
      <c r="J213" s="120"/>
    </row>
    <row r="214" spans="1:10" ht="11.25" customHeight="1" x14ac:dyDescent="0.2">
      <c r="A214" s="130"/>
      <c r="B214" s="121" t="s">
        <v>137</v>
      </c>
      <c r="C214" s="120">
        <f>SUM(F214)</f>
        <v>959961.1</v>
      </c>
      <c r="D214" s="120">
        <v>0</v>
      </c>
      <c r="E214" s="120">
        <v>0</v>
      </c>
      <c r="F214" s="120">
        <f>SUM(G214:J214)</f>
        <v>959961.1</v>
      </c>
      <c r="G214" s="120">
        <v>0</v>
      </c>
      <c r="H214" s="120">
        <v>0</v>
      </c>
      <c r="I214" s="120">
        <v>0</v>
      </c>
      <c r="J214" s="120">
        <v>959961.1</v>
      </c>
    </row>
    <row r="215" spans="1:10" ht="11.25" customHeight="1" x14ac:dyDescent="0.2">
      <c r="A215" s="146" t="s">
        <v>236</v>
      </c>
      <c r="B215" s="105" t="s">
        <v>237</v>
      </c>
      <c r="C215" s="127">
        <f t="shared" ref="C215:J215" si="25">SUM(C216:C217)</f>
        <v>162000</v>
      </c>
      <c r="D215" s="127">
        <f t="shared" si="25"/>
        <v>162000</v>
      </c>
      <c r="E215" s="127">
        <f t="shared" si="25"/>
        <v>0</v>
      </c>
      <c r="F215" s="127">
        <f t="shared" si="25"/>
        <v>0</v>
      </c>
      <c r="G215" s="127">
        <f t="shared" si="25"/>
        <v>0</v>
      </c>
      <c r="H215" s="127">
        <f t="shared" si="25"/>
        <v>0</v>
      </c>
      <c r="I215" s="127">
        <f t="shared" si="25"/>
        <v>0</v>
      </c>
      <c r="J215" s="127">
        <f t="shared" si="25"/>
        <v>0</v>
      </c>
    </row>
    <row r="216" spans="1:10" ht="11.25" customHeight="1" x14ac:dyDescent="0.2">
      <c r="A216" s="116" t="s">
        <v>115</v>
      </c>
      <c r="B216" s="121" t="s">
        <v>116</v>
      </c>
      <c r="C216" s="120">
        <f>D216</f>
        <v>1000</v>
      </c>
      <c r="D216" s="120">
        <v>1000</v>
      </c>
      <c r="E216" s="120">
        <v>0</v>
      </c>
      <c r="F216" s="120">
        <v>0</v>
      </c>
      <c r="G216" s="120">
        <v>0</v>
      </c>
      <c r="H216" s="120">
        <v>0</v>
      </c>
      <c r="I216" s="120">
        <v>0</v>
      </c>
      <c r="J216" s="120">
        <v>0</v>
      </c>
    </row>
    <row r="217" spans="1:10" ht="11.25" customHeight="1" x14ac:dyDescent="0.2">
      <c r="A217" s="146" t="s">
        <v>121</v>
      </c>
      <c r="B217" s="105" t="s">
        <v>238</v>
      </c>
      <c r="C217" s="127">
        <f>SUM(D217:E217)</f>
        <v>161000</v>
      </c>
      <c r="D217" s="127">
        <v>161000</v>
      </c>
      <c r="E217" s="127">
        <v>0</v>
      </c>
      <c r="F217" s="127">
        <v>0</v>
      </c>
      <c r="G217" s="127">
        <v>0</v>
      </c>
      <c r="H217" s="127">
        <v>0</v>
      </c>
      <c r="I217" s="127">
        <v>0</v>
      </c>
      <c r="J217" s="127">
        <v>0</v>
      </c>
    </row>
    <row r="218" spans="1:10" ht="11.25" customHeight="1" x14ac:dyDescent="0.2">
      <c r="A218" s="146" t="s">
        <v>239</v>
      </c>
      <c r="B218" s="105" t="s">
        <v>96</v>
      </c>
      <c r="C218" s="127">
        <f t="shared" ref="C218:J218" si="26">SUM(C219:C232)</f>
        <v>14362621.01</v>
      </c>
      <c r="D218" s="127">
        <f t="shared" si="26"/>
        <v>91257.25</v>
      </c>
      <c r="E218" s="127">
        <f t="shared" si="26"/>
        <v>91257.25</v>
      </c>
      <c r="F218" s="127">
        <f t="shared" si="26"/>
        <v>14271363.76</v>
      </c>
      <c r="G218" s="127">
        <f t="shared" si="26"/>
        <v>8726621.6799999997</v>
      </c>
      <c r="H218" s="127">
        <f t="shared" si="26"/>
        <v>0</v>
      </c>
      <c r="I218" s="127">
        <f t="shared" si="26"/>
        <v>0</v>
      </c>
      <c r="J218" s="127">
        <f t="shared" si="26"/>
        <v>5544742.0800000001</v>
      </c>
    </row>
    <row r="219" spans="1:10" ht="11.25" customHeight="1" x14ac:dyDescent="0.2">
      <c r="A219" s="116" t="s">
        <v>123</v>
      </c>
      <c r="B219" s="121" t="s">
        <v>240</v>
      </c>
      <c r="C219" s="129"/>
      <c r="D219" s="129"/>
      <c r="E219" s="129"/>
      <c r="F219" s="129"/>
      <c r="G219" s="129"/>
      <c r="H219" s="129"/>
      <c r="I219" s="129"/>
      <c r="J219" s="129"/>
    </row>
    <row r="220" spans="1:10" ht="9.75" customHeight="1" x14ac:dyDescent="0.2">
      <c r="A220" s="133"/>
      <c r="B220" s="121" t="s">
        <v>134</v>
      </c>
      <c r="C220" s="129"/>
      <c r="D220" s="129"/>
      <c r="E220" s="129"/>
      <c r="F220" s="129"/>
      <c r="G220" s="129"/>
      <c r="H220" s="129"/>
      <c r="I220" s="129"/>
      <c r="J220" s="129"/>
    </row>
    <row r="221" spans="1:10" ht="10.5" customHeight="1" x14ac:dyDescent="0.2">
      <c r="A221" s="133"/>
      <c r="B221" s="121" t="s">
        <v>241</v>
      </c>
      <c r="C221" s="129"/>
      <c r="D221" s="129"/>
      <c r="E221" s="129"/>
      <c r="F221" s="129"/>
      <c r="G221" s="129"/>
      <c r="H221" s="129"/>
      <c r="I221" s="129"/>
      <c r="J221" s="129"/>
    </row>
    <row r="222" spans="1:10" ht="11.25" customHeight="1" x14ac:dyDescent="0.2">
      <c r="A222" s="133"/>
      <c r="B222" s="121" t="s">
        <v>136</v>
      </c>
      <c r="C222" s="129"/>
      <c r="D222" s="129"/>
      <c r="E222" s="129"/>
      <c r="F222" s="129"/>
      <c r="G222" s="129"/>
      <c r="H222" s="129"/>
      <c r="I222" s="129"/>
      <c r="J222" s="129"/>
    </row>
    <row r="223" spans="1:10" ht="10.5" customHeight="1" x14ac:dyDescent="0.2">
      <c r="A223" s="133"/>
      <c r="B223" s="121" t="s">
        <v>137</v>
      </c>
      <c r="C223" s="120">
        <f>SUM(D223)</f>
        <v>91257.25</v>
      </c>
      <c r="D223" s="120">
        <f>SUM(E223)</f>
        <v>91257.25</v>
      </c>
      <c r="E223" s="120">
        <f>51007.25+40250</f>
        <v>91257.25</v>
      </c>
      <c r="F223" s="120">
        <v>0</v>
      </c>
      <c r="G223" s="120">
        <v>0</v>
      </c>
      <c r="H223" s="120">
        <v>0</v>
      </c>
      <c r="I223" s="120">
        <v>0</v>
      </c>
      <c r="J223" s="120">
        <v>0</v>
      </c>
    </row>
    <row r="224" spans="1:10" ht="11.25" customHeight="1" x14ac:dyDescent="0.2">
      <c r="A224" s="116" t="s">
        <v>138</v>
      </c>
      <c r="B224" s="128" t="s">
        <v>139</v>
      </c>
      <c r="C224" s="129"/>
      <c r="D224" s="135"/>
      <c r="E224" s="135"/>
      <c r="F224" s="121"/>
      <c r="G224" s="121"/>
      <c r="H224" s="121"/>
      <c r="I224" s="121"/>
      <c r="J224" s="121"/>
    </row>
    <row r="225" spans="1:10" ht="10.5" customHeight="1" x14ac:dyDescent="0.2">
      <c r="A225" s="116"/>
      <c r="B225" s="128" t="s">
        <v>140</v>
      </c>
      <c r="C225" s="129"/>
      <c r="D225" s="135"/>
      <c r="E225" s="135"/>
      <c r="F225" s="121"/>
      <c r="G225" s="121"/>
      <c r="H225" s="121"/>
      <c r="I225" s="121"/>
      <c r="J225" s="121"/>
    </row>
    <row r="226" spans="1:10" ht="10.5" customHeight="1" x14ac:dyDescent="0.2">
      <c r="A226" s="116"/>
      <c r="B226" s="128" t="s">
        <v>213</v>
      </c>
      <c r="C226" s="129"/>
      <c r="D226" s="135"/>
      <c r="E226" s="135"/>
      <c r="F226" s="135"/>
      <c r="G226" s="121"/>
      <c r="H226" s="121"/>
      <c r="I226" s="121"/>
      <c r="J226" s="135"/>
    </row>
    <row r="227" spans="1:10" ht="10.5" customHeight="1" x14ac:dyDescent="0.2">
      <c r="A227" s="116"/>
      <c r="B227" s="128" t="s">
        <v>242</v>
      </c>
      <c r="C227" s="129"/>
      <c r="D227" s="135"/>
      <c r="E227" s="135"/>
      <c r="F227" s="121"/>
      <c r="G227" s="121"/>
      <c r="H227" s="117"/>
      <c r="I227" s="117"/>
      <c r="J227" s="117"/>
    </row>
    <row r="228" spans="1:10" ht="9" customHeight="1" x14ac:dyDescent="0.2">
      <c r="A228" s="116"/>
      <c r="B228" s="128" t="s">
        <v>243</v>
      </c>
      <c r="C228" s="120">
        <f>SUM(D228:F228)</f>
        <v>5544742.0800000001</v>
      </c>
      <c r="D228" s="120">
        <f>SUM(E228,G228)</f>
        <v>0</v>
      </c>
      <c r="E228" s="117">
        <v>0</v>
      </c>
      <c r="F228" s="117">
        <f>SUM(G228:J228)</f>
        <v>5544742.0800000001</v>
      </c>
      <c r="G228" s="117">
        <v>0</v>
      </c>
      <c r="H228" s="117">
        <v>0</v>
      </c>
      <c r="I228" s="117">
        <v>0</v>
      </c>
      <c r="J228" s="117">
        <v>5544742.0800000001</v>
      </c>
    </row>
    <row r="229" spans="1:10" ht="11.25" customHeight="1" x14ac:dyDescent="0.2">
      <c r="A229" s="116" t="s">
        <v>203</v>
      </c>
      <c r="B229" s="128" t="s">
        <v>204</v>
      </c>
      <c r="C229" s="129"/>
      <c r="D229" s="129"/>
      <c r="E229" s="135"/>
      <c r="F229" s="135"/>
      <c r="G229" s="121"/>
      <c r="H229" s="117"/>
      <c r="I229" s="117"/>
      <c r="J229" s="117"/>
    </row>
    <row r="230" spans="1:10" ht="10.5" customHeight="1" x14ac:dyDescent="0.2">
      <c r="A230" s="116"/>
      <c r="B230" s="128" t="s">
        <v>205</v>
      </c>
      <c r="C230" s="129"/>
      <c r="D230" s="129"/>
      <c r="E230" s="135"/>
      <c r="F230" s="135"/>
      <c r="G230" s="121"/>
      <c r="H230" s="117"/>
      <c r="I230" s="117"/>
      <c r="J230" s="117"/>
    </row>
    <row r="231" spans="1:10" ht="10.5" customHeight="1" x14ac:dyDescent="0.2">
      <c r="A231" s="116"/>
      <c r="B231" s="128" t="s">
        <v>206</v>
      </c>
      <c r="C231" s="129"/>
      <c r="D231" s="129"/>
      <c r="E231" s="135"/>
      <c r="F231" s="135"/>
      <c r="G231" s="121"/>
      <c r="H231" s="117"/>
      <c r="I231" s="117"/>
      <c r="J231" s="117"/>
    </row>
    <row r="232" spans="1:10" ht="10.5" customHeight="1" x14ac:dyDescent="0.2">
      <c r="A232" s="116"/>
      <c r="B232" s="128" t="s">
        <v>207</v>
      </c>
      <c r="C232" s="120">
        <f>SUM(F232)</f>
        <v>8726621.6799999997</v>
      </c>
      <c r="D232" s="120">
        <v>0</v>
      </c>
      <c r="E232" s="120">
        <v>0</v>
      </c>
      <c r="F232" s="117">
        <f>G232</f>
        <v>8726621.6799999997</v>
      </c>
      <c r="G232" s="117">
        <v>8726621.6799999997</v>
      </c>
      <c r="H232" s="117">
        <v>0</v>
      </c>
      <c r="I232" s="117">
        <v>0</v>
      </c>
      <c r="J232" s="117">
        <v>0</v>
      </c>
    </row>
    <row r="233" spans="1:10" s="157" customFormat="1" ht="11.25" customHeight="1" x14ac:dyDescent="0.2">
      <c r="A233" s="148" t="s">
        <v>39</v>
      </c>
      <c r="B233" s="156" t="s">
        <v>244</v>
      </c>
      <c r="C233" s="156"/>
      <c r="D233" s="156"/>
      <c r="E233" s="156"/>
      <c r="F233" s="156"/>
      <c r="G233" s="156"/>
      <c r="H233" s="156"/>
      <c r="I233" s="156"/>
      <c r="J233" s="156"/>
    </row>
    <row r="234" spans="1:10" ht="11.25" customHeight="1" thickBot="1" x14ac:dyDescent="0.25">
      <c r="A234" s="158"/>
      <c r="B234" s="111" t="s">
        <v>41</v>
      </c>
      <c r="C234" s="112">
        <f t="shared" ref="C234:J234" si="27">SUM(C235,)</f>
        <v>134400</v>
      </c>
      <c r="D234" s="112">
        <f t="shared" si="27"/>
        <v>134400</v>
      </c>
      <c r="E234" s="112">
        <f t="shared" si="27"/>
        <v>0</v>
      </c>
      <c r="F234" s="112">
        <f t="shared" si="27"/>
        <v>0</v>
      </c>
      <c r="G234" s="112">
        <f t="shared" si="27"/>
        <v>0</v>
      </c>
      <c r="H234" s="112">
        <f t="shared" si="27"/>
        <v>0</v>
      </c>
      <c r="I234" s="112">
        <f t="shared" si="27"/>
        <v>0</v>
      </c>
      <c r="J234" s="112">
        <f t="shared" si="27"/>
        <v>0</v>
      </c>
    </row>
    <row r="235" spans="1:10" ht="11.25" customHeight="1" thickTop="1" x14ac:dyDescent="0.2">
      <c r="A235" s="125" t="s">
        <v>245</v>
      </c>
      <c r="B235" s="105" t="s">
        <v>246</v>
      </c>
      <c r="C235" s="127">
        <f t="shared" ref="C235:J235" si="28">SUM(C236:C237)</f>
        <v>134400</v>
      </c>
      <c r="D235" s="127">
        <f t="shared" si="28"/>
        <v>134400</v>
      </c>
      <c r="E235" s="127">
        <f t="shared" si="28"/>
        <v>0</v>
      </c>
      <c r="F235" s="127">
        <f t="shared" si="28"/>
        <v>0</v>
      </c>
      <c r="G235" s="127">
        <f t="shared" si="28"/>
        <v>0</v>
      </c>
      <c r="H235" s="127">
        <f t="shared" si="28"/>
        <v>0</v>
      </c>
      <c r="I235" s="127">
        <f t="shared" si="28"/>
        <v>0</v>
      </c>
      <c r="J235" s="127">
        <f t="shared" si="28"/>
        <v>0</v>
      </c>
    </row>
    <row r="236" spans="1:10" ht="11.25" customHeight="1" x14ac:dyDescent="0.2">
      <c r="A236" s="159" t="s">
        <v>247</v>
      </c>
      <c r="B236" s="160" t="s">
        <v>248</v>
      </c>
      <c r="C236" s="161"/>
      <c r="D236" s="162"/>
      <c r="E236" s="162"/>
      <c r="F236" s="162"/>
      <c r="G236" s="162"/>
      <c r="H236" s="162"/>
      <c r="I236" s="162"/>
      <c r="J236" s="162"/>
    </row>
    <row r="237" spans="1:10" ht="11.25" customHeight="1" x14ac:dyDescent="0.2">
      <c r="A237" s="116"/>
      <c r="B237" s="128" t="s">
        <v>249</v>
      </c>
      <c r="C237" s="120">
        <f>SUM(D237:F237)</f>
        <v>134400</v>
      </c>
      <c r="D237" s="117">
        <v>134400</v>
      </c>
      <c r="E237" s="117">
        <v>0</v>
      </c>
      <c r="F237" s="117">
        <v>0</v>
      </c>
      <c r="G237" s="117">
        <v>0</v>
      </c>
      <c r="H237" s="117">
        <v>0</v>
      </c>
      <c r="I237" s="117">
        <v>0</v>
      </c>
      <c r="J237" s="117">
        <v>0</v>
      </c>
    </row>
    <row r="238" spans="1:10" ht="11.25" customHeight="1" x14ac:dyDescent="0.2">
      <c r="A238" s="148" t="s">
        <v>44</v>
      </c>
      <c r="B238" s="163" t="s">
        <v>250</v>
      </c>
      <c r="C238" s="121"/>
      <c r="D238" s="121"/>
      <c r="E238" s="121"/>
      <c r="F238" s="121"/>
      <c r="G238" s="121"/>
      <c r="H238" s="121"/>
      <c r="I238" s="121"/>
      <c r="J238" s="121"/>
    </row>
    <row r="239" spans="1:10" ht="11.25" customHeight="1" x14ac:dyDescent="0.2">
      <c r="A239" s="133"/>
      <c r="B239" s="163" t="s">
        <v>251</v>
      </c>
      <c r="C239" s="121"/>
      <c r="D239" s="121"/>
      <c r="E239" s="121"/>
      <c r="F239" s="121"/>
      <c r="G239" s="121"/>
      <c r="H239" s="121"/>
      <c r="I239" s="121"/>
      <c r="J239" s="121"/>
    </row>
    <row r="240" spans="1:10" ht="11.25" customHeight="1" thickBot="1" x14ac:dyDescent="0.25">
      <c r="A240" s="122"/>
      <c r="B240" s="124" t="s">
        <v>252</v>
      </c>
      <c r="C240" s="112">
        <f t="shared" ref="C240:J240" si="29">SUM(C241,C246,C256,C266,C284)</f>
        <v>712638902</v>
      </c>
      <c r="D240" s="112">
        <f t="shared" si="29"/>
        <v>712638902</v>
      </c>
      <c r="E240" s="112">
        <f t="shared" si="29"/>
        <v>0</v>
      </c>
      <c r="F240" s="112">
        <f t="shared" si="29"/>
        <v>0</v>
      </c>
      <c r="G240" s="112">
        <f t="shared" si="29"/>
        <v>0</v>
      </c>
      <c r="H240" s="112">
        <f t="shared" si="29"/>
        <v>0</v>
      </c>
      <c r="I240" s="112">
        <f t="shared" si="29"/>
        <v>0</v>
      </c>
      <c r="J240" s="112">
        <f t="shared" si="29"/>
        <v>0</v>
      </c>
    </row>
    <row r="241" spans="1:10" ht="11.25" customHeight="1" thickTop="1" x14ac:dyDescent="0.2">
      <c r="A241" s="113" t="s">
        <v>253</v>
      </c>
      <c r="B241" s="105" t="s">
        <v>254</v>
      </c>
      <c r="C241" s="127">
        <f t="shared" ref="C241:J241" si="30">SUM(C243:C243)</f>
        <v>244710</v>
      </c>
      <c r="D241" s="127">
        <f t="shared" si="30"/>
        <v>244710</v>
      </c>
      <c r="E241" s="127">
        <f t="shared" si="30"/>
        <v>0</v>
      </c>
      <c r="F241" s="127">
        <f t="shared" si="30"/>
        <v>0</v>
      </c>
      <c r="G241" s="127">
        <f t="shared" si="30"/>
        <v>0</v>
      </c>
      <c r="H241" s="127">
        <f t="shared" si="30"/>
        <v>0</v>
      </c>
      <c r="I241" s="127">
        <f t="shared" si="30"/>
        <v>0</v>
      </c>
      <c r="J241" s="127">
        <f t="shared" si="30"/>
        <v>0</v>
      </c>
    </row>
    <row r="242" spans="1:10" ht="11.25" customHeight="1" x14ac:dyDescent="0.2">
      <c r="A242" s="116" t="s">
        <v>255</v>
      </c>
      <c r="B242" s="121" t="s">
        <v>256</v>
      </c>
      <c r="C242" s="117"/>
      <c r="D242" s="117"/>
      <c r="E242" s="117"/>
      <c r="F242" s="117"/>
      <c r="G242" s="117"/>
      <c r="H242" s="117"/>
      <c r="I242" s="117"/>
      <c r="J242" s="117"/>
    </row>
    <row r="243" spans="1:10" ht="11.25" customHeight="1" x14ac:dyDescent="0.2">
      <c r="A243" s="116"/>
      <c r="B243" s="121" t="s">
        <v>257</v>
      </c>
      <c r="C243" s="120">
        <f>SUM(D243:F243)</f>
        <v>244710</v>
      </c>
      <c r="D243" s="120">
        <v>244710</v>
      </c>
      <c r="E243" s="117">
        <v>0</v>
      </c>
      <c r="F243" s="117">
        <v>0</v>
      </c>
      <c r="G243" s="117">
        <v>0</v>
      </c>
      <c r="H243" s="117">
        <v>0</v>
      </c>
      <c r="I243" s="117">
        <v>0</v>
      </c>
      <c r="J243" s="117">
        <v>0</v>
      </c>
    </row>
    <row r="244" spans="1:10" ht="11.25" customHeight="1" x14ac:dyDescent="0.2">
      <c r="A244" s="133" t="s">
        <v>258</v>
      </c>
      <c r="B244" s="128" t="s">
        <v>259</v>
      </c>
      <c r="C244" s="117"/>
      <c r="D244" s="117"/>
      <c r="E244" s="117"/>
      <c r="F244" s="117"/>
      <c r="G244" s="117"/>
      <c r="H244" s="117"/>
      <c r="I244" s="117"/>
      <c r="J244" s="117"/>
    </row>
    <row r="245" spans="1:10" ht="11.25" customHeight="1" x14ac:dyDescent="0.2">
      <c r="A245" s="133"/>
      <c r="B245" s="128" t="s">
        <v>260</v>
      </c>
      <c r="C245" s="117"/>
      <c r="D245" s="117"/>
      <c r="E245" s="117"/>
      <c r="F245" s="117"/>
      <c r="G245" s="117"/>
      <c r="H245" s="117"/>
      <c r="I245" s="117"/>
      <c r="J245" s="117"/>
    </row>
    <row r="246" spans="1:10" ht="11.25" customHeight="1" x14ac:dyDescent="0.2">
      <c r="A246" s="125"/>
      <c r="B246" s="126" t="s">
        <v>261</v>
      </c>
      <c r="C246" s="127">
        <f t="shared" ref="C246:J246" si="31">SUM(C247:C252)</f>
        <v>190905910</v>
      </c>
      <c r="D246" s="127">
        <f t="shared" si="31"/>
        <v>190905910</v>
      </c>
      <c r="E246" s="127">
        <f t="shared" si="31"/>
        <v>0</v>
      </c>
      <c r="F246" s="127">
        <f t="shared" si="31"/>
        <v>0</v>
      </c>
      <c r="G246" s="127">
        <f t="shared" si="31"/>
        <v>0</v>
      </c>
      <c r="H246" s="127">
        <f t="shared" si="31"/>
        <v>0</v>
      </c>
      <c r="I246" s="127">
        <f t="shared" si="31"/>
        <v>0</v>
      </c>
      <c r="J246" s="127">
        <f t="shared" si="31"/>
        <v>0</v>
      </c>
    </row>
    <row r="247" spans="1:10" ht="11.25" customHeight="1" x14ac:dyDescent="0.2">
      <c r="A247" s="116" t="s">
        <v>262</v>
      </c>
      <c r="B247" s="128" t="s">
        <v>263</v>
      </c>
      <c r="C247" s="120">
        <f t="shared" ref="C247:C252" si="32">SUM(D247:F247)</f>
        <v>185622990</v>
      </c>
      <c r="D247" s="117">
        <f>163622990+12000000+10000000</f>
        <v>185622990</v>
      </c>
      <c r="E247" s="117">
        <v>0</v>
      </c>
      <c r="F247" s="117">
        <v>0</v>
      </c>
      <c r="G247" s="117">
        <v>0</v>
      </c>
      <c r="H247" s="117">
        <v>0</v>
      </c>
      <c r="I247" s="117">
        <v>0</v>
      </c>
      <c r="J247" s="117">
        <v>0</v>
      </c>
    </row>
    <row r="248" spans="1:10" ht="11.25" customHeight="1" x14ac:dyDescent="0.2">
      <c r="A248" s="116" t="s">
        <v>264</v>
      </c>
      <c r="B248" s="128" t="s">
        <v>265</v>
      </c>
      <c r="C248" s="120">
        <f t="shared" si="32"/>
        <v>2400</v>
      </c>
      <c r="D248" s="117">
        <v>2400</v>
      </c>
      <c r="E248" s="117">
        <v>0</v>
      </c>
      <c r="F248" s="117">
        <v>0</v>
      </c>
      <c r="G248" s="117">
        <v>0</v>
      </c>
      <c r="H248" s="117">
        <v>0</v>
      </c>
      <c r="I248" s="117">
        <v>0</v>
      </c>
      <c r="J248" s="117">
        <v>0</v>
      </c>
    </row>
    <row r="249" spans="1:10" ht="11.25" customHeight="1" x14ac:dyDescent="0.2">
      <c r="A249" s="116" t="s">
        <v>266</v>
      </c>
      <c r="B249" s="128" t="s">
        <v>267</v>
      </c>
      <c r="C249" s="120">
        <f t="shared" si="32"/>
        <v>101000</v>
      </c>
      <c r="D249" s="117">
        <v>101000</v>
      </c>
      <c r="E249" s="117">
        <v>0</v>
      </c>
      <c r="F249" s="117">
        <v>0</v>
      </c>
      <c r="G249" s="117">
        <v>0</v>
      </c>
      <c r="H249" s="117">
        <v>0</v>
      </c>
      <c r="I249" s="117">
        <v>0</v>
      </c>
      <c r="J249" s="117">
        <v>0</v>
      </c>
    </row>
    <row r="250" spans="1:10" ht="11.25" customHeight="1" x14ac:dyDescent="0.2">
      <c r="A250" s="116" t="s">
        <v>268</v>
      </c>
      <c r="B250" s="128" t="s">
        <v>269</v>
      </c>
      <c r="C250" s="120">
        <f t="shared" si="32"/>
        <v>1830000</v>
      </c>
      <c r="D250" s="117">
        <f>1530000+300000</f>
        <v>1830000</v>
      </c>
      <c r="E250" s="117">
        <v>0</v>
      </c>
      <c r="F250" s="117">
        <v>0</v>
      </c>
      <c r="G250" s="117">
        <v>0</v>
      </c>
      <c r="H250" s="117">
        <v>0</v>
      </c>
      <c r="I250" s="117">
        <v>0</v>
      </c>
      <c r="J250" s="117">
        <v>0</v>
      </c>
    </row>
    <row r="251" spans="1:10" ht="11.25" customHeight="1" x14ac:dyDescent="0.2">
      <c r="A251" s="116" t="s">
        <v>270</v>
      </c>
      <c r="B251" s="121" t="s">
        <v>271</v>
      </c>
      <c r="C251" s="120">
        <f t="shared" si="32"/>
        <v>2349520</v>
      </c>
      <c r="D251" s="117">
        <f>849520+1500000</f>
        <v>2349520</v>
      </c>
      <c r="E251" s="117">
        <v>0</v>
      </c>
      <c r="F251" s="117">
        <v>0</v>
      </c>
      <c r="G251" s="117">
        <v>0</v>
      </c>
      <c r="H251" s="117">
        <v>0</v>
      </c>
      <c r="I251" s="117">
        <v>0</v>
      </c>
      <c r="J251" s="117">
        <v>0</v>
      </c>
    </row>
    <row r="252" spans="1:10" ht="12.75" customHeight="1" x14ac:dyDescent="0.2">
      <c r="A252" s="164" t="s">
        <v>272</v>
      </c>
      <c r="B252" s="165" t="s">
        <v>273</v>
      </c>
      <c r="C252" s="120">
        <f t="shared" si="32"/>
        <v>1000000</v>
      </c>
      <c r="D252" s="117">
        <v>1000000</v>
      </c>
      <c r="E252" s="117">
        <v>0</v>
      </c>
      <c r="F252" s="117">
        <v>0</v>
      </c>
      <c r="G252" s="117">
        <v>0</v>
      </c>
      <c r="H252" s="117">
        <v>0</v>
      </c>
      <c r="I252" s="117">
        <v>0</v>
      </c>
      <c r="J252" s="117">
        <v>0</v>
      </c>
    </row>
    <row r="253" spans="1:10" ht="11.25" customHeight="1" x14ac:dyDescent="0.2">
      <c r="A253" s="133" t="s">
        <v>274</v>
      </c>
      <c r="B253" s="128" t="s">
        <v>275</v>
      </c>
      <c r="C253" s="117"/>
      <c r="D253" s="117"/>
      <c r="E253" s="117"/>
      <c r="F253" s="117"/>
      <c r="G253" s="117"/>
      <c r="H253" s="117"/>
      <c r="I253" s="117"/>
      <c r="J253" s="117"/>
    </row>
    <row r="254" spans="1:10" ht="11.25" customHeight="1" x14ac:dyDescent="0.2">
      <c r="A254" s="133"/>
      <c r="B254" s="128" t="s">
        <v>276</v>
      </c>
      <c r="C254" s="117"/>
      <c r="D254" s="117"/>
      <c r="E254" s="117"/>
      <c r="F254" s="117"/>
      <c r="G254" s="117"/>
      <c r="H254" s="117"/>
      <c r="I254" s="117"/>
      <c r="J254" s="117"/>
    </row>
    <row r="255" spans="1:10" ht="11.25" customHeight="1" x14ac:dyDescent="0.2">
      <c r="A255" s="133"/>
      <c r="B255" s="128" t="s">
        <v>277</v>
      </c>
      <c r="C255" s="117"/>
      <c r="D255" s="117"/>
      <c r="E255" s="117"/>
      <c r="F255" s="117"/>
      <c r="G255" s="117"/>
      <c r="H255" s="117"/>
      <c r="I255" s="117"/>
      <c r="J255" s="117"/>
    </row>
    <row r="256" spans="1:10" ht="11.25" customHeight="1" x14ac:dyDescent="0.2">
      <c r="A256" s="125"/>
      <c r="B256" s="126" t="s">
        <v>278</v>
      </c>
      <c r="C256" s="127">
        <f t="shared" ref="C256:J256" si="33">SUM(C257:C263)</f>
        <v>35099918</v>
      </c>
      <c r="D256" s="127">
        <f t="shared" si="33"/>
        <v>35099918</v>
      </c>
      <c r="E256" s="127">
        <f t="shared" si="33"/>
        <v>0</v>
      </c>
      <c r="F256" s="127">
        <f t="shared" si="33"/>
        <v>0</v>
      </c>
      <c r="G256" s="127">
        <f t="shared" si="33"/>
        <v>0</v>
      </c>
      <c r="H256" s="127">
        <f t="shared" si="33"/>
        <v>0</v>
      </c>
      <c r="I256" s="127">
        <f t="shared" si="33"/>
        <v>0</v>
      </c>
      <c r="J256" s="127">
        <f t="shared" si="33"/>
        <v>0</v>
      </c>
    </row>
    <row r="257" spans="1:10" ht="11.25" customHeight="1" x14ac:dyDescent="0.2">
      <c r="A257" s="159" t="s">
        <v>262</v>
      </c>
      <c r="B257" s="128" t="s">
        <v>263</v>
      </c>
      <c r="C257" s="120">
        <f t="shared" ref="C257:C263" si="34">SUM(D257:F257)</f>
        <v>26001648</v>
      </c>
      <c r="D257" s="117">
        <f>24001648+2000000</f>
        <v>26001648</v>
      </c>
      <c r="E257" s="117">
        <v>0</v>
      </c>
      <c r="F257" s="117">
        <v>0</v>
      </c>
      <c r="G257" s="117">
        <v>0</v>
      </c>
      <c r="H257" s="117">
        <v>0</v>
      </c>
      <c r="I257" s="117">
        <v>0</v>
      </c>
      <c r="J257" s="117">
        <v>0</v>
      </c>
    </row>
    <row r="258" spans="1:10" ht="11.25" customHeight="1" x14ac:dyDescent="0.2">
      <c r="A258" s="116" t="s">
        <v>264</v>
      </c>
      <c r="B258" s="128" t="s">
        <v>265</v>
      </c>
      <c r="C258" s="120">
        <f t="shared" si="34"/>
        <v>83000</v>
      </c>
      <c r="D258" s="117">
        <v>83000</v>
      </c>
      <c r="E258" s="117">
        <v>0</v>
      </c>
      <c r="F258" s="117">
        <v>0</v>
      </c>
      <c r="G258" s="117">
        <v>0</v>
      </c>
      <c r="H258" s="117">
        <v>0</v>
      </c>
      <c r="I258" s="117">
        <v>0</v>
      </c>
      <c r="J258" s="117">
        <v>0</v>
      </c>
    </row>
    <row r="259" spans="1:10" ht="11.25" customHeight="1" x14ac:dyDescent="0.2">
      <c r="A259" s="146" t="s">
        <v>266</v>
      </c>
      <c r="B259" s="126" t="s">
        <v>267</v>
      </c>
      <c r="C259" s="127">
        <f t="shared" si="34"/>
        <v>2800</v>
      </c>
      <c r="D259" s="147">
        <v>2800</v>
      </c>
      <c r="E259" s="147">
        <v>0</v>
      </c>
      <c r="F259" s="147">
        <v>0</v>
      </c>
      <c r="G259" s="147">
        <v>0</v>
      </c>
      <c r="H259" s="147">
        <v>0</v>
      </c>
      <c r="I259" s="147">
        <v>0</v>
      </c>
      <c r="J259" s="147">
        <v>0</v>
      </c>
    </row>
    <row r="260" spans="1:10" ht="11.25" customHeight="1" x14ac:dyDescent="0.2">
      <c r="A260" s="146" t="s">
        <v>268</v>
      </c>
      <c r="B260" s="126" t="s">
        <v>269</v>
      </c>
      <c r="C260" s="127">
        <f t="shared" si="34"/>
        <v>642000</v>
      </c>
      <c r="D260" s="147">
        <v>642000</v>
      </c>
      <c r="E260" s="147">
        <v>0</v>
      </c>
      <c r="F260" s="147">
        <v>0</v>
      </c>
      <c r="G260" s="147">
        <v>0</v>
      </c>
      <c r="H260" s="147">
        <v>0</v>
      </c>
      <c r="I260" s="147">
        <v>0</v>
      </c>
      <c r="J260" s="147">
        <v>0</v>
      </c>
    </row>
    <row r="261" spans="1:10" ht="11.25" customHeight="1" x14ac:dyDescent="0.2">
      <c r="A261" s="116" t="s">
        <v>279</v>
      </c>
      <c r="B261" s="121" t="s">
        <v>280</v>
      </c>
      <c r="C261" s="120">
        <f t="shared" si="34"/>
        <v>545110</v>
      </c>
      <c r="D261" s="120">
        <v>545110</v>
      </c>
      <c r="E261" s="117">
        <v>0</v>
      </c>
      <c r="F261" s="117">
        <v>0</v>
      </c>
      <c r="G261" s="117">
        <v>0</v>
      </c>
      <c r="H261" s="117">
        <v>0</v>
      </c>
      <c r="I261" s="117">
        <v>0</v>
      </c>
      <c r="J261" s="117">
        <v>0</v>
      </c>
    </row>
    <row r="262" spans="1:10" ht="11.25" customHeight="1" x14ac:dyDescent="0.2">
      <c r="A262" s="116" t="s">
        <v>281</v>
      </c>
      <c r="B262" s="121" t="s">
        <v>282</v>
      </c>
      <c r="C262" s="120">
        <f t="shared" si="34"/>
        <v>134000</v>
      </c>
      <c r="D262" s="117">
        <v>134000</v>
      </c>
      <c r="E262" s="117">
        <v>0</v>
      </c>
      <c r="F262" s="117">
        <v>0</v>
      </c>
      <c r="G262" s="117">
        <v>0</v>
      </c>
      <c r="H262" s="117">
        <v>0</v>
      </c>
      <c r="I262" s="117">
        <v>0</v>
      </c>
      <c r="J262" s="117">
        <v>0</v>
      </c>
    </row>
    <row r="263" spans="1:10" ht="11.25" customHeight="1" x14ac:dyDescent="0.2">
      <c r="A263" s="116" t="s">
        <v>270</v>
      </c>
      <c r="B263" s="121" t="s">
        <v>271</v>
      </c>
      <c r="C263" s="120">
        <f t="shared" si="34"/>
        <v>7691360</v>
      </c>
      <c r="D263" s="120">
        <f>6191360+1500000</f>
        <v>7691360</v>
      </c>
      <c r="E263" s="117">
        <v>0</v>
      </c>
      <c r="F263" s="117">
        <v>0</v>
      </c>
      <c r="G263" s="117">
        <v>0</v>
      </c>
      <c r="H263" s="117">
        <v>0</v>
      </c>
      <c r="I263" s="117">
        <v>0</v>
      </c>
      <c r="J263" s="117">
        <v>0</v>
      </c>
    </row>
    <row r="264" spans="1:10" ht="11.25" customHeight="1" x14ac:dyDescent="0.2">
      <c r="A264" s="133" t="s">
        <v>283</v>
      </c>
      <c r="B264" s="121" t="s">
        <v>284</v>
      </c>
      <c r="C264" s="121"/>
      <c r="D264" s="121"/>
      <c r="E264" s="117"/>
      <c r="F264" s="117"/>
      <c r="G264" s="117"/>
      <c r="H264" s="117"/>
      <c r="I264" s="117"/>
      <c r="J264" s="117"/>
    </row>
    <row r="265" spans="1:10" ht="11.25" customHeight="1" x14ac:dyDescent="0.2">
      <c r="A265" s="133"/>
      <c r="B265" s="121" t="s">
        <v>285</v>
      </c>
      <c r="C265" s="121"/>
      <c r="D265" s="121"/>
      <c r="E265" s="117"/>
      <c r="F265" s="117"/>
      <c r="G265" s="117"/>
      <c r="H265" s="117"/>
      <c r="I265" s="117"/>
      <c r="J265" s="117"/>
    </row>
    <row r="266" spans="1:10" ht="11.25" customHeight="1" x14ac:dyDescent="0.2">
      <c r="A266" s="125"/>
      <c r="B266" s="105" t="s">
        <v>286</v>
      </c>
      <c r="C266" s="127">
        <f t="shared" ref="C266:J266" si="35">SUM(C268:C283)</f>
        <v>6397150</v>
      </c>
      <c r="D266" s="127">
        <f t="shared" si="35"/>
        <v>6397150</v>
      </c>
      <c r="E266" s="127">
        <f t="shared" si="35"/>
        <v>0</v>
      </c>
      <c r="F266" s="127">
        <f t="shared" si="35"/>
        <v>0</v>
      </c>
      <c r="G266" s="127">
        <f t="shared" si="35"/>
        <v>0</v>
      </c>
      <c r="H266" s="127">
        <f t="shared" si="35"/>
        <v>0</v>
      </c>
      <c r="I266" s="127">
        <f t="shared" si="35"/>
        <v>0</v>
      </c>
      <c r="J266" s="127">
        <f t="shared" si="35"/>
        <v>0</v>
      </c>
    </row>
    <row r="267" spans="1:10" ht="11.25" customHeight="1" x14ac:dyDescent="0.2">
      <c r="A267" s="116" t="s">
        <v>287</v>
      </c>
      <c r="B267" s="121" t="s">
        <v>288</v>
      </c>
      <c r="C267" s="120"/>
      <c r="D267" s="117"/>
      <c r="E267" s="117"/>
      <c r="F267" s="117"/>
      <c r="G267" s="117"/>
      <c r="H267" s="117"/>
      <c r="I267" s="117"/>
      <c r="J267" s="117"/>
    </row>
    <row r="268" spans="1:10" ht="11.25" customHeight="1" x14ac:dyDescent="0.2">
      <c r="A268" s="116"/>
      <c r="B268" s="121" t="s">
        <v>289</v>
      </c>
      <c r="C268" s="120">
        <f>SUM(D268)</f>
        <v>775550</v>
      </c>
      <c r="D268" s="117">
        <v>775550</v>
      </c>
      <c r="E268" s="117">
        <v>0</v>
      </c>
      <c r="F268" s="117">
        <v>0</v>
      </c>
      <c r="G268" s="117">
        <v>0</v>
      </c>
      <c r="H268" s="117">
        <v>0</v>
      </c>
      <c r="I268" s="117">
        <v>0</v>
      </c>
      <c r="J268" s="117">
        <v>0</v>
      </c>
    </row>
    <row r="269" spans="1:10" ht="11.25" customHeight="1" x14ac:dyDescent="0.2">
      <c r="A269" s="116" t="s">
        <v>290</v>
      </c>
      <c r="B269" s="121" t="s">
        <v>291</v>
      </c>
      <c r="C269" s="120">
        <f>SUM(D269:F269)</f>
        <v>1100000</v>
      </c>
      <c r="D269" s="117">
        <f>1000000+100000</f>
        <v>1100000</v>
      </c>
      <c r="E269" s="117">
        <v>0</v>
      </c>
      <c r="F269" s="117">
        <v>0</v>
      </c>
      <c r="G269" s="117">
        <v>0</v>
      </c>
      <c r="H269" s="117">
        <v>0</v>
      </c>
      <c r="I269" s="117">
        <v>0</v>
      </c>
      <c r="J269" s="117">
        <v>0</v>
      </c>
    </row>
    <row r="270" spans="1:10" ht="11.25" customHeight="1" x14ac:dyDescent="0.2">
      <c r="A270" s="116" t="s">
        <v>292</v>
      </c>
      <c r="B270" s="121" t="s">
        <v>293</v>
      </c>
      <c r="C270" s="120">
        <f>SUM(D270:F270)</f>
        <v>1250000</v>
      </c>
      <c r="D270" s="117">
        <v>1250000</v>
      </c>
      <c r="E270" s="117">
        <v>0</v>
      </c>
      <c r="F270" s="117">
        <v>0</v>
      </c>
      <c r="G270" s="117">
        <v>0</v>
      </c>
      <c r="H270" s="117">
        <v>0</v>
      </c>
      <c r="I270" s="117">
        <v>0</v>
      </c>
      <c r="J270" s="117">
        <v>0</v>
      </c>
    </row>
    <row r="271" spans="1:10" ht="11.25" customHeight="1" x14ac:dyDescent="0.2">
      <c r="A271" s="116" t="s">
        <v>294</v>
      </c>
      <c r="B271" s="121" t="s">
        <v>295</v>
      </c>
      <c r="C271" s="120">
        <f>SUM(D271:F271)</f>
        <v>2900000</v>
      </c>
      <c r="D271" s="117">
        <v>2900000</v>
      </c>
      <c r="E271" s="117">
        <v>0</v>
      </c>
      <c r="F271" s="117">
        <v>0</v>
      </c>
      <c r="G271" s="117">
        <v>0</v>
      </c>
      <c r="H271" s="117">
        <v>0</v>
      </c>
      <c r="I271" s="117">
        <v>0</v>
      </c>
      <c r="J271" s="117">
        <v>0</v>
      </c>
    </row>
    <row r="272" spans="1:10" ht="11.25" customHeight="1" x14ac:dyDescent="0.2">
      <c r="A272" s="116" t="s">
        <v>167</v>
      </c>
      <c r="B272" s="121" t="s">
        <v>168</v>
      </c>
      <c r="C272" s="117"/>
      <c r="D272" s="117"/>
      <c r="E272" s="117"/>
      <c r="F272" s="117"/>
      <c r="G272" s="117"/>
      <c r="H272" s="117"/>
      <c r="I272" s="117"/>
      <c r="J272" s="117"/>
    </row>
    <row r="273" spans="1:10" ht="11.25" customHeight="1" x14ac:dyDescent="0.2">
      <c r="A273" s="116"/>
      <c r="B273" s="121" t="s">
        <v>169</v>
      </c>
      <c r="C273" s="120">
        <f>SUM(D273:F273)</f>
        <v>54000</v>
      </c>
      <c r="D273" s="117">
        <v>54000</v>
      </c>
      <c r="E273" s="117">
        <v>0</v>
      </c>
      <c r="F273" s="117">
        <v>0</v>
      </c>
      <c r="G273" s="117">
        <v>0</v>
      </c>
      <c r="H273" s="117">
        <v>0</v>
      </c>
      <c r="I273" s="117">
        <v>0</v>
      </c>
      <c r="J273" s="117">
        <v>0</v>
      </c>
    </row>
    <row r="274" spans="1:10" ht="11.25" customHeight="1" x14ac:dyDescent="0.2">
      <c r="A274" s="116" t="s">
        <v>247</v>
      </c>
      <c r="B274" s="128" t="s">
        <v>248</v>
      </c>
      <c r="C274" s="120"/>
      <c r="D274" s="117"/>
      <c r="E274" s="117"/>
      <c r="F274" s="117"/>
      <c r="G274" s="117"/>
      <c r="H274" s="117"/>
      <c r="I274" s="117"/>
      <c r="J274" s="117"/>
    </row>
    <row r="275" spans="1:10" ht="11.25" customHeight="1" x14ac:dyDescent="0.2">
      <c r="A275" s="116"/>
      <c r="B275" s="128" t="s">
        <v>249</v>
      </c>
      <c r="C275" s="120">
        <f>SUM(D275:F275)</f>
        <v>30000</v>
      </c>
      <c r="D275" s="117">
        <v>30000</v>
      </c>
      <c r="E275" s="117">
        <v>0</v>
      </c>
      <c r="F275" s="117">
        <v>0</v>
      </c>
      <c r="G275" s="117">
        <v>0</v>
      </c>
      <c r="H275" s="117">
        <v>0</v>
      </c>
      <c r="I275" s="117">
        <v>0</v>
      </c>
      <c r="J275" s="117">
        <v>0</v>
      </c>
    </row>
    <row r="276" spans="1:10" ht="11.25" customHeight="1" x14ac:dyDescent="0.2">
      <c r="A276" s="116" t="s">
        <v>146</v>
      </c>
      <c r="B276" s="121" t="s">
        <v>147</v>
      </c>
      <c r="C276" s="120"/>
      <c r="D276" s="117"/>
      <c r="E276" s="117"/>
      <c r="F276" s="117"/>
      <c r="G276" s="117"/>
      <c r="H276" s="117"/>
      <c r="I276" s="117"/>
      <c r="J276" s="117"/>
    </row>
    <row r="277" spans="1:10" ht="11.25" customHeight="1" x14ac:dyDescent="0.2">
      <c r="A277" s="116"/>
      <c r="B277" s="121" t="s">
        <v>148</v>
      </c>
      <c r="C277" s="120">
        <f>SUM(D277:F277)</f>
        <v>5000</v>
      </c>
      <c r="D277" s="117">
        <v>5000</v>
      </c>
      <c r="E277" s="117">
        <v>0</v>
      </c>
      <c r="F277" s="117">
        <v>0</v>
      </c>
      <c r="G277" s="117">
        <v>0</v>
      </c>
      <c r="H277" s="117">
        <v>0</v>
      </c>
      <c r="I277" s="117">
        <v>0</v>
      </c>
      <c r="J277" s="117">
        <v>0</v>
      </c>
    </row>
    <row r="278" spans="1:10" ht="11.25" customHeight="1" x14ac:dyDescent="0.2">
      <c r="A278" s="116" t="s">
        <v>296</v>
      </c>
      <c r="B278" s="121" t="s">
        <v>297</v>
      </c>
      <c r="C278" s="120">
        <f>SUM(D278:F278)</f>
        <v>30000</v>
      </c>
      <c r="D278" s="117">
        <v>30000</v>
      </c>
      <c r="E278" s="117">
        <v>0</v>
      </c>
      <c r="F278" s="117">
        <v>0</v>
      </c>
      <c r="G278" s="117">
        <v>0</v>
      </c>
      <c r="H278" s="117">
        <v>0</v>
      </c>
      <c r="I278" s="117">
        <v>0</v>
      </c>
      <c r="J278" s="117">
        <v>0</v>
      </c>
    </row>
    <row r="279" spans="1:10" ht="11.25" customHeight="1" x14ac:dyDescent="0.2">
      <c r="A279" s="116" t="s">
        <v>149</v>
      </c>
      <c r="B279" s="137" t="s">
        <v>150</v>
      </c>
      <c r="C279" s="120"/>
      <c r="D279" s="117"/>
      <c r="E279" s="117"/>
      <c r="F279" s="117"/>
      <c r="G279" s="117"/>
      <c r="H279" s="117"/>
      <c r="I279" s="117"/>
      <c r="J279" s="117"/>
    </row>
    <row r="280" spans="1:10" ht="11.25" customHeight="1" x14ac:dyDescent="0.2">
      <c r="A280" s="116"/>
      <c r="B280" s="137" t="s">
        <v>151</v>
      </c>
      <c r="C280" s="120">
        <f>SUM(D280:F280)</f>
        <v>1000</v>
      </c>
      <c r="D280" s="117">
        <v>1000</v>
      </c>
      <c r="E280" s="117">
        <v>0</v>
      </c>
      <c r="F280" s="117">
        <v>0</v>
      </c>
      <c r="G280" s="117">
        <v>0</v>
      </c>
      <c r="H280" s="117">
        <v>0</v>
      </c>
      <c r="I280" s="117">
        <v>0</v>
      </c>
      <c r="J280" s="117">
        <v>0</v>
      </c>
    </row>
    <row r="281" spans="1:10" ht="11.25" customHeight="1" x14ac:dyDescent="0.2">
      <c r="A281" s="116" t="s">
        <v>298</v>
      </c>
      <c r="B281" s="121" t="s">
        <v>299</v>
      </c>
      <c r="C281" s="120">
        <f>SUM(D281:F281)</f>
        <v>250000</v>
      </c>
      <c r="D281" s="117">
        <v>250000</v>
      </c>
      <c r="E281" s="117">
        <v>0</v>
      </c>
      <c r="F281" s="117">
        <v>0</v>
      </c>
      <c r="G281" s="117">
        <v>0</v>
      </c>
      <c r="H281" s="117">
        <v>0</v>
      </c>
      <c r="I281" s="117">
        <v>0</v>
      </c>
      <c r="J281" s="117">
        <v>0</v>
      </c>
    </row>
    <row r="282" spans="1:10" ht="11.25" customHeight="1" x14ac:dyDescent="0.2">
      <c r="A282" s="116" t="s">
        <v>97</v>
      </c>
      <c r="B282" s="121" t="s">
        <v>98</v>
      </c>
      <c r="C282" s="120">
        <f>SUM(D282:F282)</f>
        <v>1100</v>
      </c>
      <c r="D282" s="117">
        <f>1000+100</f>
        <v>1100</v>
      </c>
      <c r="E282" s="117">
        <v>0</v>
      </c>
      <c r="F282" s="117">
        <v>0</v>
      </c>
      <c r="G282" s="117">
        <v>0</v>
      </c>
      <c r="H282" s="117">
        <v>0</v>
      </c>
      <c r="I282" s="117">
        <v>0</v>
      </c>
      <c r="J282" s="117">
        <v>0</v>
      </c>
    </row>
    <row r="283" spans="1:10" ht="11.25" customHeight="1" x14ac:dyDescent="0.2">
      <c r="A283" s="116" t="s">
        <v>115</v>
      </c>
      <c r="B283" s="121" t="s">
        <v>116</v>
      </c>
      <c r="C283" s="120">
        <f>SUM(D283:F283)</f>
        <v>500</v>
      </c>
      <c r="D283" s="117">
        <v>500</v>
      </c>
      <c r="E283" s="117">
        <v>0</v>
      </c>
      <c r="F283" s="117">
        <v>0</v>
      </c>
      <c r="G283" s="117">
        <v>0</v>
      </c>
      <c r="H283" s="117">
        <v>0</v>
      </c>
      <c r="I283" s="117">
        <v>0</v>
      </c>
      <c r="J283" s="117">
        <v>0</v>
      </c>
    </row>
    <row r="284" spans="1:10" ht="22.5" customHeight="1" x14ac:dyDescent="0.2">
      <c r="A284" s="150" t="s">
        <v>300</v>
      </c>
      <c r="B284" s="166" t="s">
        <v>301</v>
      </c>
      <c r="C284" s="127">
        <f t="shared" ref="C284:J284" si="36">C285+C286</f>
        <v>479991214</v>
      </c>
      <c r="D284" s="127">
        <f t="shared" si="36"/>
        <v>479991214</v>
      </c>
      <c r="E284" s="127">
        <f t="shared" si="36"/>
        <v>0</v>
      </c>
      <c r="F284" s="127">
        <f t="shared" si="36"/>
        <v>0</v>
      </c>
      <c r="G284" s="127">
        <f t="shared" si="36"/>
        <v>0</v>
      </c>
      <c r="H284" s="127">
        <f t="shared" si="36"/>
        <v>0</v>
      </c>
      <c r="I284" s="127">
        <f t="shared" si="36"/>
        <v>0</v>
      </c>
      <c r="J284" s="127">
        <f t="shared" si="36"/>
        <v>0</v>
      </c>
    </row>
    <row r="285" spans="1:10" ht="11.25" customHeight="1" x14ac:dyDescent="0.2">
      <c r="A285" s="116" t="s">
        <v>302</v>
      </c>
      <c r="B285" s="121" t="s">
        <v>303</v>
      </c>
      <c r="C285" s="120">
        <f>SUM(D285)</f>
        <v>449312330</v>
      </c>
      <c r="D285" s="120">
        <v>449312330</v>
      </c>
      <c r="E285" s="117">
        <v>0</v>
      </c>
      <c r="F285" s="117">
        <v>0</v>
      </c>
      <c r="G285" s="117">
        <v>0</v>
      </c>
      <c r="H285" s="117">
        <v>0</v>
      </c>
      <c r="I285" s="117">
        <v>0</v>
      </c>
      <c r="J285" s="117">
        <v>0</v>
      </c>
    </row>
    <row r="286" spans="1:10" ht="11.25" customHeight="1" x14ac:dyDescent="0.2">
      <c r="A286" s="116" t="s">
        <v>304</v>
      </c>
      <c r="B286" s="121" t="s">
        <v>305</v>
      </c>
      <c r="C286" s="120">
        <f>SUM(D286)</f>
        <v>30678884</v>
      </c>
      <c r="D286" s="120">
        <v>30678884</v>
      </c>
      <c r="E286" s="117">
        <v>0</v>
      </c>
      <c r="F286" s="117">
        <v>0</v>
      </c>
      <c r="G286" s="117">
        <v>0</v>
      </c>
      <c r="H286" s="117">
        <v>0</v>
      </c>
      <c r="I286" s="117">
        <v>0</v>
      </c>
      <c r="J286" s="117">
        <v>0</v>
      </c>
    </row>
    <row r="287" spans="1:10" ht="11.25" customHeight="1" thickBot="1" x14ac:dyDescent="0.25">
      <c r="A287" s="122" t="s">
        <v>48</v>
      </c>
      <c r="B287" s="111" t="s">
        <v>49</v>
      </c>
      <c r="C287" s="112">
        <f>SUM(,C288,C290,)</f>
        <v>81227882</v>
      </c>
      <c r="D287" s="112">
        <f t="shared" ref="D287:J287" si="37">SUM(,D288,D290,)</f>
        <v>81227882</v>
      </c>
      <c r="E287" s="112">
        <f t="shared" si="37"/>
        <v>0</v>
      </c>
      <c r="F287" s="112">
        <f t="shared" si="37"/>
        <v>0</v>
      </c>
      <c r="G287" s="112">
        <f t="shared" si="37"/>
        <v>0</v>
      </c>
      <c r="H287" s="112">
        <f t="shared" si="37"/>
        <v>0</v>
      </c>
      <c r="I287" s="112">
        <f t="shared" si="37"/>
        <v>0</v>
      </c>
      <c r="J287" s="112">
        <f t="shared" si="37"/>
        <v>0</v>
      </c>
    </row>
    <row r="288" spans="1:10" ht="11.25" customHeight="1" thickTop="1" x14ac:dyDescent="0.2">
      <c r="A288" s="125" t="s">
        <v>306</v>
      </c>
      <c r="B288" s="105" t="s">
        <v>307</v>
      </c>
      <c r="C288" s="127">
        <f t="shared" ref="C288:J288" si="38">SUM(C289:C289)</f>
        <v>200000</v>
      </c>
      <c r="D288" s="127">
        <f t="shared" si="38"/>
        <v>200000</v>
      </c>
      <c r="E288" s="127">
        <f t="shared" si="38"/>
        <v>0</v>
      </c>
      <c r="F288" s="127">
        <f t="shared" si="38"/>
        <v>0</v>
      </c>
      <c r="G288" s="127">
        <f t="shared" si="38"/>
        <v>0</v>
      </c>
      <c r="H288" s="127">
        <f t="shared" si="38"/>
        <v>0</v>
      </c>
      <c r="I288" s="127">
        <f t="shared" si="38"/>
        <v>0</v>
      </c>
      <c r="J288" s="127">
        <f t="shared" si="38"/>
        <v>0</v>
      </c>
    </row>
    <row r="289" spans="1:10" ht="11.25" customHeight="1" x14ac:dyDescent="0.2">
      <c r="A289" s="116" t="s">
        <v>115</v>
      </c>
      <c r="B289" s="121" t="s">
        <v>116</v>
      </c>
      <c r="C289" s="120">
        <f>SUM(D289:F289)</f>
        <v>200000</v>
      </c>
      <c r="D289" s="117">
        <v>200000</v>
      </c>
      <c r="E289" s="117">
        <v>0</v>
      </c>
      <c r="F289" s="117">
        <v>0</v>
      </c>
      <c r="G289" s="117">
        <v>0</v>
      </c>
      <c r="H289" s="117">
        <v>0</v>
      </c>
      <c r="I289" s="117">
        <v>0</v>
      </c>
      <c r="J289" s="117">
        <v>0</v>
      </c>
    </row>
    <row r="290" spans="1:10" ht="11.25" customHeight="1" x14ac:dyDescent="0.2">
      <c r="A290" s="125" t="s">
        <v>308</v>
      </c>
      <c r="B290" s="167" t="s">
        <v>309</v>
      </c>
      <c r="C290" s="127">
        <f t="shared" ref="C290:J290" si="39">C291</f>
        <v>81027882</v>
      </c>
      <c r="D290" s="127">
        <f t="shared" si="39"/>
        <v>81027882</v>
      </c>
      <c r="E290" s="127">
        <f t="shared" si="39"/>
        <v>0</v>
      </c>
      <c r="F290" s="127">
        <f t="shared" si="39"/>
        <v>0</v>
      </c>
      <c r="G290" s="127">
        <f t="shared" si="39"/>
        <v>0</v>
      </c>
      <c r="H290" s="127">
        <f t="shared" si="39"/>
        <v>0</v>
      </c>
      <c r="I290" s="127">
        <f t="shared" si="39"/>
        <v>0</v>
      </c>
      <c r="J290" s="127">
        <f t="shared" si="39"/>
        <v>0</v>
      </c>
    </row>
    <row r="291" spans="1:10" ht="11.25" customHeight="1" x14ac:dyDescent="0.2">
      <c r="A291" s="116" t="s">
        <v>310</v>
      </c>
      <c r="B291" s="121" t="s">
        <v>311</v>
      </c>
      <c r="C291" s="120">
        <f>SUM(D291)</f>
        <v>81027882</v>
      </c>
      <c r="D291" s="120">
        <v>81027882</v>
      </c>
      <c r="E291" s="117">
        <v>0</v>
      </c>
      <c r="F291" s="117">
        <v>0</v>
      </c>
      <c r="G291" s="117">
        <v>0</v>
      </c>
      <c r="H291" s="117">
        <v>0</v>
      </c>
      <c r="I291" s="117">
        <v>0</v>
      </c>
      <c r="J291" s="117">
        <v>0</v>
      </c>
    </row>
    <row r="292" spans="1:10" s="157" customFormat="1" ht="11.25" customHeight="1" thickBot="1" x14ac:dyDescent="0.25">
      <c r="A292" s="122" t="s">
        <v>50</v>
      </c>
      <c r="B292" s="111" t="s">
        <v>51</v>
      </c>
      <c r="C292" s="112">
        <f>SUM(C293,C302,C306,)</f>
        <v>3074120.88</v>
      </c>
      <c r="D292" s="112">
        <f t="shared" ref="D292:J292" si="40">SUM(D293,D302,D306,)</f>
        <v>3074120.88</v>
      </c>
      <c r="E292" s="112">
        <f t="shared" si="40"/>
        <v>461706.88000000006</v>
      </c>
      <c r="F292" s="112">
        <f t="shared" si="40"/>
        <v>0</v>
      </c>
      <c r="G292" s="112">
        <f t="shared" si="40"/>
        <v>0</v>
      </c>
      <c r="H292" s="112">
        <f t="shared" si="40"/>
        <v>0</v>
      </c>
      <c r="I292" s="112">
        <f t="shared" si="40"/>
        <v>0</v>
      </c>
      <c r="J292" s="112">
        <f t="shared" si="40"/>
        <v>0</v>
      </c>
    </row>
    <row r="293" spans="1:10" s="157" customFormat="1" ht="11.25" customHeight="1" thickTop="1" x14ac:dyDescent="0.2">
      <c r="A293" s="113" t="s">
        <v>312</v>
      </c>
      <c r="B293" s="105" t="s">
        <v>313</v>
      </c>
      <c r="C293" s="127">
        <f t="shared" ref="C293:J293" si="41">SUM(C294:C301)</f>
        <v>71993</v>
      </c>
      <c r="D293" s="127">
        <f t="shared" si="41"/>
        <v>71993</v>
      </c>
      <c r="E293" s="127">
        <f t="shared" si="41"/>
        <v>0</v>
      </c>
      <c r="F293" s="127">
        <f t="shared" si="41"/>
        <v>0</v>
      </c>
      <c r="G293" s="127">
        <f t="shared" si="41"/>
        <v>0</v>
      </c>
      <c r="H293" s="127">
        <f t="shared" si="41"/>
        <v>0</v>
      </c>
      <c r="I293" s="127">
        <f t="shared" si="41"/>
        <v>0</v>
      </c>
      <c r="J293" s="127">
        <f t="shared" si="41"/>
        <v>0</v>
      </c>
    </row>
    <row r="294" spans="1:10" s="157" customFormat="1" ht="10.5" customHeight="1" x14ac:dyDescent="0.2">
      <c r="A294" s="116" t="s">
        <v>99</v>
      </c>
      <c r="B294" s="121" t="s">
        <v>172</v>
      </c>
      <c r="C294" s="117"/>
      <c r="D294" s="117"/>
      <c r="E294" s="117"/>
      <c r="F294" s="117"/>
      <c r="G294" s="117"/>
      <c r="H294" s="117"/>
      <c r="I294" s="117"/>
      <c r="J294" s="117"/>
    </row>
    <row r="295" spans="1:10" s="157" customFormat="1" ht="10.5" customHeight="1" x14ac:dyDescent="0.2">
      <c r="A295" s="143"/>
      <c r="B295" s="121" t="s">
        <v>173</v>
      </c>
      <c r="C295" s="117"/>
      <c r="D295" s="117"/>
      <c r="E295" s="117"/>
      <c r="F295" s="117"/>
      <c r="G295" s="117"/>
      <c r="H295" s="117"/>
      <c r="I295" s="117"/>
      <c r="J295" s="117"/>
    </row>
    <row r="296" spans="1:10" s="157" customFormat="1" ht="9" customHeight="1" x14ac:dyDescent="0.2">
      <c r="A296" s="143"/>
      <c r="B296" s="121" t="s">
        <v>174</v>
      </c>
      <c r="C296" s="117"/>
      <c r="D296" s="117"/>
      <c r="E296" s="117"/>
      <c r="F296" s="117"/>
      <c r="G296" s="117"/>
      <c r="H296" s="117"/>
      <c r="I296" s="117"/>
      <c r="J296" s="117"/>
    </row>
    <row r="297" spans="1:10" s="157" customFormat="1" ht="9.75" customHeight="1" x14ac:dyDescent="0.2">
      <c r="A297" s="143"/>
      <c r="B297" s="121" t="s">
        <v>175</v>
      </c>
      <c r="C297" s="120">
        <f>SUM(D297:F297)</f>
        <v>21800</v>
      </c>
      <c r="D297" s="117">
        <v>21800</v>
      </c>
      <c r="E297" s="117">
        <v>0</v>
      </c>
      <c r="F297" s="117">
        <v>0</v>
      </c>
      <c r="G297" s="117">
        <v>0</v>
      </c>
      <c r="H297" s="117">
        <v>0</v>
      </c>
      <c r="I297" s="117">
        <v>0</v>
      </c>
      <c r="J297" s="117">
        <v>0</v>
      </c>
    </row>
    <row r="298" spans="1:10" s="157" customFormat="1" ht="10.5" customHeight="1" x14ac:dyDescent="0.2">
      <c r="A298" s="116" t="s">
        <v>113</v>
      </c>
      <c r="B298" s="121" t="s">
        <v>114</v>
      </c>
      <c r="C298" s="120">
        <f>SUM(D298:F298)</f>
        <v>22705</v>
      </c>
      <c r="D298" s="117">
        <v>22705</v>
      </c>
      <c r="E298" s="117">
        <v>0</v>
      </c>
      <c r="F298" s="117">
        <v>0</v>
      </c>
      <c r="G298" s="117">
        <v>0</v>
      </c>
      <c r="H298" s="117">
        <v>0</v>
      </c>
      <c r="I298" s="117">
        <v>0</v>
      </c>
      <c r="J298" s="117">
        <v>0</v>
      </c>
    </row>
    <row r="299" spans="1:10" s="157" customFormat="1" ht="9.75" customHeight="1" x14ac:dyDescent="0.2">
      <c r="A299" s="116" t="s">
        <v>115</v>
      </c>
      <c r="B299" s="121" t="s">
        <v>116</v>
      </c>
      <c r="C299" s="120">
        <f>SUM(D299:F299)</f>
        <v>23888</v>
      </c>
      <c r="D299" s="117">
        <v>23888</v>
      </c>
      <c r="E299" s="117">
        <v>0</v>
      </c>
      <c r="F299" s="117">
        <v>0</v>
      </c>
      <c r="G299" s="117">
        <v>0</v>
      </c>
      <c r="H299" s="117">
        <v>0</v>
      </c>
      <c r="I299" s="117">
        <v>0</v>
      </c>
      <c r="J299" s="117">
        <v>0</v>
      </c>
    </row>
    <row r="300" spans="1:10" s="157" customFormat="1" ht="10.5" customHeight="1" x14ac:dyDescent="0.2">
      <c r="A300" s="146" t="s">
        <v>117</v>
      </c>
      <c r="B300" s="105" t="s">
        <v>118</v>
      </c>
      <c r="C300" s="127">
        <f>SUM(D300)</f>
        <v>1000</v>
      </c>
      <c r="D300" s="147">
        <v>1000</v>
      </c>
      <c r="E300" s="147">
        <v>0</v>
      </c>
      <c r="F300" s="147">
        <v>0</v>
      </c>
      <c r="G300" s="147">
        <v>0</v>
      </c>
      <c r="H300" s="147">
        <v>0</v>
      </c>
      <c r="I300" s="147">
        <v>0</v>
      </c>
      <c r="J300" s="147">
        <v>0</v>
      </c>
    </row>
    <row r="301" spans="1:10" s="157" customFormat="1" ht="10.5" customHeight="1" x14ac:dyDescent="0.2">
      <c r="A301" s="146" t="s">
        <v>121</v>
      </c>
      <c r="B301" s="105" t="s">
        <v>122</v>
      </c>
      <c r="C301" s="127">
        <f>SUM(D301:F301)</f>
        <v>2600</v>
      </c>
      <c r="D301" s="147">
        <v>2600</v>
      </c>
      <c r="E301" s="147">
        <v>0</v>
      </c>
      <c r="F301" s="147">
        <v>0</v>
      </c>
      <c r="G301" s="147">
        <v>0</v>
      </c>
      <c r="H301" s="147">
        <v>0</v>
      </c>
      <c r="I301" s="147">
        <v>0</v>
      </c>
      <c r="J301" s="147">
        <v>0</v>
      </c>
    </row>
    <row r="302" spans="1:10" s="157" customFormat="1" ht="9.75" customHeight="1" x14ac:dyDescent="0.2">
      <c r="A302" s="125" t="s">
        <v>314</v>
      </c>
      <c r="B302" s="105" t="s">
        <v>315</v>
      </c>
      <c r="C302" s="127">
        <f t="shared" ref="C302:J302" si="42">SUM(C303:C305)</f>
        <v>2540421</v>
      </c>
      <c r="D302" s="127">
        <f t="shared" si="42"/>
        <v>2540421</v>
      </c>
      <c r="E302" s="127">
        <f t="shared" si="42"/>
        <v>0</v>
      </c>
      <c r="F302" s="127">
        <f t="shared" si="42"/>
        <v>0</v>
      </c>
      <c r="G302" s="127">
        <f t="shared" si="42"/>
        <v>0</v>
      </c>
      <c r="H302" s="127">
        <f t="shared" si="42"/>
        <v>0</v>
      </c>
      <c r="I302" s="127">
        <f t="shared" si="42"/>
        <v>0</v>
      </c>
      <c r="J302" s="127">
        <f t="shared" si="42"/>
        <v>0</v>
      </c>
    </row>
    <row r="303" spans="1:10" s="157" customFormat="1" ht="9.75" customHeight="1" x14ac:dyDescent="0.2">
      <c r="A303" s="116" t="s">
        <v>316</v>
      </c>
      <c r="B303" s="128" t="s">
        <v>317</v>
      </c>
      <c r="C303" s="120">
        <f>SUM(D303)</f>
        <v>930466</v>
      </c>
      <c r="D303" s="117">
        <v>930466</v>
      </c>
      <c r="E303" s="117">
        <v>0</v>
      </c>
      <c r="F303" s="117">
        <v>0</v>
      </c>
      <c r="G303" s="117">
        <v>0</v>
      </c>
      <c r="H303" s="117">
        <v>0</v>
      </c>
      <c r="I303" s="117">
        <v>0</v>
      </c>
      <c r="J303" s="117">
        <v>0</v>
      </c>
    </row>
    <row r="304" spans="1:10" s="157" customFormat="1" ht="9.75" customHeight="1" x14ac:dyDescent="0.2">
      <c r="A304" s="116" t="s">
        <v>115</v>
      </c>
      <c r="B304" s="121" t="s">
        <v>116</v>
      </c>
      <c r="C304" s="120">
        <f>SUM(D304:F304)</f>
        <v>9955</v>
      </c>
      <c r="D304" s="117">
        <v>9955</v>
      </c>
      <c r="E304" s="117">
        <v>0</v>
      </c>
      <c r="F304" s="117">
        <v>0</v>
      </c>
      <c r="G304" s="117">
        <v>0</v>
      </c>
      <c r="H304" s="117">
        <v>0</v>
      </c>
      <c r="I304" s="117">
        <v>0</v>
      </c>
      <c r="J304" s="117">
        <v>0</v>
      </c>
    </row>
    <row r="305" spans="1:10" s="157" customFormat="1" ht="10.5" customHeight="1" x14ac:dyDescent="0.2">
      <c r="A305" s="116" t="s">
        <v>121</v>
      </c>
      <c r="B305" s="121" t="s">
        <v>122</v>
      </c>
      <c r="C305" s="120">
        <f>SUM(D305:F305)</f>
        <v>1600000</v>
      </c>
      <c r="D305" s="117">
        <f>1300000+300000</f>
        <v>1600000</v>
      </c>
      <c r="E305" s="117">
        <v>0</v>
      </c>
      <c r="F305" s="117">
        <v>0</v>
      </c>
      <c r="G305" s="117">
        <v>0</v>
      </c>
      <c r="H305" s="117">
        <v>0</v>
      </c>
      <c r="I305" s="117">
        <v>0</v>
      </c>
      <c r="J305" s="117">
        <v>0</v>
      </c>
    </row>
    <row r="306" spans="1:10" s="157" customFormat="1" ht="10.5" customHeight="1" x14ac:dyDescent="0.2">
      <c r="A306" s="125" t="s">
        <v>318</v>
      </c>
      <c r="B306" s="105" t="s">
        <v>96</v>
      </c>
      <c r="C306" s="127">
        <f t="shared" ref="C306:J306" si="43">SUM(C307:C316)</f>
        <v>461706.88000000006</v>
      </c>
      <c r="D306" s="127">
        <f t="shared" si="43"/>
        <v>461706.88000000006</v>
      </c>
      <c r="E306" s="127">
        <f t="shared" si="43"/>
        <v>461706.88000000006</v>
      </c>
      <c r="F306" s="127">
        <f t="shared" si="43"/>
        <v>0</v>
      </c>
      <c r="G306" s="127">
        <f t="shared" si="43"/>
        <v>0</v>
      </c>
      <c r="H306" s="127">
        <f t="shared" si="43"/>
        <v>0</v>
      </c>
      <c r="I306" s="127">
        <f t="shared" si="43"/>
        <v>0</v>
      </c>
      <c r="J306" s="127">
        <f t="shared" si="43"/>
        <v>0</v>
      </c>
    </row>
    <row r="307" spans="1:10" ht="10.5" customHeight="1" x14ac:dyDescent="0.2">
      <c r="A307" s="116" t="s">
        <v>200</v>
      </c>
      <c r="B307" s="121" t="s">
        <v>139</v>
      </c>
      <c r="C307" s="120"/>
      <c r="D307" s="117"/>
      <c r="E307" s="117"/>
      <c r="F307" s="117"/>
      <c r="G307" s="117"/>
      <c r="H307" s="117"/>
      <c r="I307" s="117"/>
      <c r="J307" s="117"/>
    </row>
    <row r="308" spans="1:10" ht="10.5" customHeight="1" x14ac:dyDescent="0.2">
      <c r="A308" s="116"/>
      <c r="B308" s="121" t="s">
        <v>319</v>
      </c>
      <c r="C308" s="120"/>
      <c r="D308" s="117"/>
      <c r="E308" s="117"/>
      <c r="F308" s="117"/>
      <c r="G308" s="117"/>
      <c r="H308" s="117"/>
      <c r="I308" s="117"/>
      <c r="J308" s="117"/>
    </row>
    <row r="309" spans="1:10" ht="10.5" customHeight="1" x14ac:dyDescent="0.2">
      <c r="A309" s="116"/>
      <c r="B309" s="121" t="s">
        <v>320</v>
      </c>
      <c r="C309" s="120"/>
      <c r="D309" s="117"/>
      <c r="E309" s="117"/>
      <c r="F309" s="117"/>
      <c r="G309" s="117"/>
      <c r="H309" s="117"/>
      <c r="I309" s="117"/>
      <c r="J309" s="117"/>
    </row>
    <row r="310" spans="1:10" ht="9.75" customHeight="1" x14ac:dyDescent="0.2">
      <c r="A310" s="116"/>
      <c r="B310" s="121" t="s">
        <v>321</v>
      </c>
      <c r="C310" s="120"/>
      <c r="D310" s="117"/>
      <c r="E310" s="117"/>
      <c r="F310" s="117"/>
      <c r="G310" s="117"/>
      <c r="H310" s="117"/>
      <c r="I310" s="117"/>
      <c r="J310" s="117"/>
    </row>
    <row r="311" spans="1:10" ht="11.25" customHeight="1" x14ac:dyDescent="0.2">
      <c r="A311" s="116"/>
      <c r="B311" s="121" t="s">
        <v>322</v>
      </c>
      <c r="C311" s="120">
        <f>D311</f>
        <v>436078.74000000005</v>
      </c>
      <c r="D311" s="117">
        <f>E311</f>
        <v>436078.74000000005</v>
      </c>
      <c r="E311" s="117">
        <f>403879.53+17655.45+14543.76</f>
        <v>436078.74000000005</v>
      </c>
      <c r="F311" s="117">
        <v>0</v>
      </c>
      <c r="G311" s="117">
        <v>0</v>
      </c>
      <c r="H311" s="117">
        <v>0</v>
      </c>
      <c r="I311" s="117">
        <v>0</v>
      </c>
      <c r="J311" s="117">
        <v>0</v>
      </c>
    </row>
    <row r="312" spans="1:10" ht="11.25" customHeight="1" x14ac:dyDescent="0.2">
      <c r="A312" s="116" t="s">
        <v>202</v>
      </c>
      <c r="B312" s="121" t="s">
        <v>139</v>
      </c>
      <c r="C312" s="120"/>
      <c r="D312" s="117"/>
      <c r="E312" s="117"/>
      <c r="F312" s="117"/>
      <c r="G312" s="117"/>
      <c r="H312" s="117"/>
      <c r="I312" s="117"/>
      <c r="J312" s="117"/>
    </row>
    <row r="313" spans="1:10" ht="11.25" customHeight="1" x14ac:dyDescent="0.2">
      <c r="A313" s="116"/>
      <c r="B313" s="121" t="s">
        <v>319</v>
      </c>
      <c r="C313" s="120"/>
      <c r="D313" s="117"/>
      <c r="E313" s="117"/>
      <c r="F313" s="117"/>
      <c r="G313" s="117"/>
      <c r="H313" s="117"/>
      <c r="I313" s="117"/>
      <c r="J313" s="117"/>
    </row>
    <row r="314" spans="1:10" ht="11.25" customHeight="1" x14ac:dyDescent="0.2">
      <c r="A314" s="116"/>
      <c r="B314" s="121" t="s">
        <v>320</v>
      </c>
      <c r="C314" s="120"/>
      <c r="D314" s="117"/>
      <c r="E314" s="117"/>
      <c r="F314" s="117"/>
      <c r="G314" s="117"/>
      <c r="H314" s="117"/>
      <c r="I314" s="117"/>
      <c r="J314" s="117"/>
    </row>
    <row r="315" spans="1:10" ht="11.25" customHeight="1" x14ac:dyDescent="0.2">
      <c r="A315" s="116"/>
      <c r="B315" s="121" t="s">
        <v>321</v>
      </c>
      <c r="C315" s="120"/>
      <c r="D315" s="117"/>
      <c r="E315" s="117"/>
      <c r="F315" s="117"/>
      <c r="G315" s="117"/>
      <c r="H315" s="117"/>
      <c r="I315" s="117"/>
      <c r="J315" s="117"/>
    </row>
    <row r="316" spans="1:10" ht="11.25" customHeight="1" x14ac:dyDescent="0.2">
      <c r="A316" s="116"/>
      <c r="B316" s="121" t="s">
        <v>322</v>
      </c>
      <c r="C316" s="120">
        <f>D316</f>
        <v>25628.140000000003</v>
      </c>
      <c r="D316" s="117">
        <f>E316</f>
        <v>25628.140000000003</v>
      </c>
      <c r="E316" s="117">
        <f>23732.47+1039.43+856.24</f>
        <v>25628.140000000003</v>
      </c>
      <c r="F316" s="117">
        <v>0</v>
      </c>
      <c r="G316" s="117">
        <v>0</v>
      </c>
      <c r="H316" s="117">
        <v>0</v>
      </c>
      <c r="I316" s="117">
        <v>0</v>
      </c>
      <c r="J316" s="117">
        <v>0</v>
      </c>
    </row>
    <row r="317" spans="1:10" ht="11.25" customHeight="1" thickBot="1" x14ac:dyDescent="0.25">
      <c r="A317" s="122" t="s">
        <v>52</v>
      </c>
      <c r="B317" s="111" t="s">
        <v>323</v>
      </c>
      <c r="C317" s="112">
        <f t="shared" ref="C317:J317" si="44">SUM(,C318)</f>
        <v>80500</v>
      </c>
      <c r="D317" s="112">
        <f t="shared" si="44"/>
        <v>80500</v>
      </c>
      <c r="E317" s="112">
        <f t="shared" si="44"/>
        <v>0</v>
      </c>
      <c r="F317" s="112">
        <f t="shared" si="44"/>
        <v>0</v>
      </c>
      <c r="G317" s="112">
        <f t="shared" si="44"/>
        <v>0</v>
      </c>
      <c r="H317" s="112">
        <f t="shared" si="44"/>
        <v>0</v>
      </c>
      <c r="I317" s="112">
        <f t="shared" si="44"/>
        <v>0</v>
      </c>
      <c r="J317" s="112">
        <f t="shared" si="44"/>
        <v>0</v>
      </c>
    </row>
    <row r="318" spans="1:10" ht="11.25" customHeight="1" thickTop="1" x14ac:dyDescent="0.2">
      <c r="A318" s="113" t="s">
        <v>324</v>
      </c>
      <c r="B318" s="114" t="s">
        <v>325</v>
      </c>
      <c r="C318" s="115">
        <f t="shared" ref="C318:J318" si="45">SUM(C319:C320)</f>
        <v>80500</v>
      </c>
      <c r="D318" s="115">
        <f t="shared" si="45"/>
        <v>80500</v>
      </c>
      <c r="E318" s="115">
        <f t="shared" si="45"/>
        <v>0</v>
      </c>
      <c r="F318" s="115">
        <f t="shared" si="45"/>
        <v>0</v>
      </c>
      <c r="G318" s="115">
        <f t="shared" si="45"/>
        <v>0</v>
      </c>
      <c r="H318" s="115">
        <f t="shared" si="45"/>
        <v>0</v>
      </c>
      <c r="I318" s="115">
        <f t="shared" si="45"/>
        <v>0</v>
      </c>
      <c r="J318" s="115">
        <f t="shared" si="45"/>
        <v>0</v>
      </c>
    </row>
    <row r="319" spans="1:10" ht="11.25" customHeight="1" x14ac:dyDescent="0.2">
      <c r="A319" s="116" t="s">
        <v>113</v>
      </c>
      <c r="B319" s="121" t="s">
        <v>114</v>
      </c>
      <c r="C319" s="120">
        <f>SUM(D319)</f>
        <v>80000</v>
      </c>
      <c r="D319" s="120">
        <v>80000</v>
      </c>
      <c r="E319" s="120">
        <v>0</v>
      </c>
      <c r="F319" s="120">
        <v>0</v>
      </c>
      <c r="G319" s="120">
        <v>0</v>
      </c>
      <c r="H319" s="120">
        <v>0</v>
      </c>
      <c r="I319" s="120">
        <v>0</v>
      </c>
      <c r="J319" s="120">
        <v>0</v>
      </c>
    </row>
    <row r="320" spans="1:10" ht="11.25" customHeight="1" x14ac:dyDescent="0.2">
      <c r="A320" s="116" t="s">
        <v>119</v>
      </c>
      <c r="B320" s="128" t="s">
        <v>326</v>
      </c>
      <c r="C320" s="120">
        <f>SUM(D320)</f>
        <v>500</v>
      </c>
      <c r="D320" s="120">
        <v>500</v>
      </c>
      <c r="E320" s="120">
        <v>0</v>
      </c>
      <c r="F320" s="120">
        <v>0</v>
      </c>
      <c r="G320" s="120">
        <v>0</v>
      </c>
      <c r="H320" s="120">
        <v>0</v>
      </c>
      <c r="I320" s="120">
        <v>0</v>
      </c>
      <c r="J320" s="120">
        <v>0</v>
      </c>
    </row>
    <row r="321" spans="1:10" ht="11.25" customHeight="1" thickBot="1" x14ac:dyDescent="0.25">
      <c r="A321" s="122" t="s">
        <v>54</v>
      </c>
      <c r="B321" s="111" t="s">
        <v>55</v>
      </c>
      <c r="C321" s="112">
        <f t="shared" ref="C321:J321" si="46">SUM(C322,C330,C342,C348,C353,C356,C361,C380,C385,C390,C335,C376,)</f>
        <v>25293863.129999999</v>
      </c>
      <c r="D321" s="112">
        <f t="shared" si="46"/>
        <v>25293863.129999999</v>
      </c>
      <c r="E321" s="112">
        <f t="shared" si="46"/>
        <v>527677.13</v>
      </c>
      <c r="F321" s="112">
        <f t="shared" si="46"/>
        <v>0</v>
      </c>
      <c r="G321" s="112">
        <f t="shared" si="46"/>
        <v>0</v>
      </c>
      <c r="H321" s="112">
        <f t="shared" si="46"/>
        <v>0</v>
      </c>
      <c r="I321" s="112">
        <f t="shared" si="46"/>
        <v>0</v>
      </c>
      <c r="J321" s="112">
        <f t="shared" si="46"/>
        <v>0</v>
      </c>
    </row>
    <row r="322" spans="1:10" ht="11.25" customHeight="1" thickTop="1" x14ac:dyDescent="0.2">
      <c r="A322" s="125" t="s">
        <v>327</v>
      </c>
      <c r="B322" s="105" t="s">
        <v>328</v>
      </c>
      <c r="C322" s="127">
        <f t="shared" ref="C322:J322" si="47">SUM(C323:C329)</f>
        <v>3376528</v>
      </c>
      <c r="D322" s="127">
        <f t="shared" si="47"/>
        <v>3376528</v>
      </c>
      <c r="E322" s="127">
        <f t="shared" si="47"/>
        <v>0</v>
      </c>
      <c r="F322" s="127">
        <f t="shared" si="47"/>
        <v>0</v>
      </c>
      <c r="G322" s="127">
        <f t="shared" si="47"/>
        <v>0</v>
      </c>
      <c r="H322" s="127">
        <f t="shared" si="47"/>
        <v>0</v>
      </c>
      <c r="I322" s="127">
        <f t="shared" si="47"/>
        <v>0</v>
      </c>
      <c r="J322" s="127">
        <f t="shared" si="47"/>
        <v>0</v>
      </c>
    </row>
    <row r="323" spans="1:10" ht="10.5" customHeight="1" x14ac:dyDescent="0.2">
      <c r="A323" s="116" t="s">
        <v>113</v>
      </c>
      <c r="B323" s="121" t="s">
        <v>114</v>
      </c>
      <c r="C323" s="120">
        <f>SUM(D323,F323)</f>
        <v>2178393</v>
      </c>
      <c r="D323" s="117">
        <f>1262093+916300</f>
        <v>2178393</v>
      </c>
      <c r="E323" s="117">
        <v>0</v>
      </c>
      <c r="F323" s="117">
        <v>0</v>
      </c>
      <c r="G323" s="117">
        <v>0</v>
      </c>
      <c r="H323" s="117">
        <v>0</v>
      </c>
      <c r="I323" s="117">
        <v>0</v>
      </c>
      <c r="J323" s="117">
        <v>0</v>
      </c>
    </row>
    <row r="324" spans="1:10" ht="9.75" customHeight="1" x14ac:dyDescent="0.2">
      <c r="A324" s="116" t="s">
        <v>115</v>
      </c>
      <c r="B324" s="121" t="s">
        <v>116</v>
      </c>
      <c r="C324" s="120">
        <f>SUM(D324,F324)</f>
        <v>2830</v>
      </c>
      <c r="D324" s="117">
        <v>2830</v>
      </c>
      <c r="E324" s="117">
        <v>0</v>
      </c>
      <c r="F324" s="117">
        <v>0</v>
      </c>
      <c r="G324" s="117">
        <v>0</v>
      </c>
      <c r="H324" s="117">
        <v>0</v>
      </c>
      <c r="I324" s="117">
        <v>0</v>
      </c>
      <c r="J324" s="117">
        <v>0</v>
      </c>
    </row>
    <row r="325" spans="1:10" ht="10.5" customHeight="1" x14ac:dyDescent="0.2">
      <c r="A325" s="116" t="s">
        <v>117</v>
      </c>
      <c r="B325" s="121" t="s">
        <v>118</v>
      </c>
      <c r="C325" s="120">
        <f>SUM(D325)</f>
        <v>10400</v>
      </c>
      <c r="D325" s="117">
        <f>1500+8900</f>
        <v>10400</v>
      </c>
      <c r="E325" s="117">
        <v>0</v>
      </c>
      <c r="F325" s="117">
        <v>0</v>
      </c>
      <c r="G325" s="117">
        <v>0</v>
      </c>
      <c r="H325" s="117">
        <v>0</v>
      </c>
      <c r="I325" s="117">
        <v>0</v>
      </c>
      <c r="J325" s="117">
        <v>0</v>
      </c>
    </row>
    <row r="326" spans="1:10" ht="10.5" customHeight="1" x14ac:dyDescent="0.2">
      <c r="A326" s="116" t="s">
        <v>329</v>
      </c>
      <c r="B326" s="121" t="s">
        <v>330</v>
      </c>
      <c r="C326" s="120"/>
      <c r="D326" s="117"/>
      <c r="E326" s="117"/>
      <c r="F326" s="117"/>
      <c r="G326" s="117"/>
      <c r="H326" s="117"/>
      <c r="I326" s="117"/>
      <c r="J326" s="117"/>
    </row>
    <row r="327" spans="1:10" ht="11.25" customHeight="1" x14ac:dyDescent="0.2">
      <c r="A327" s="116"/>
      <c r="B327" s="121" t="s">
        <v>331</v>
      </c>
      <c r="C327" s="120">
        <f>SUM(D327,F327)</f>
        <v>481300</v>
      </c>
      <c r="D327" s="117">
        <v>481300</v>
      </c>
      <c r="E327" s="117">
        <v>0</v>
      </c>
      <c r="F327" s="117">
        <v>0</v>
      </c>
      <c r="G327" s="117">
        <v>0</v>
      </c>
      <c r="H327" s="117">
        <v>0</v>
      </c>
      <c r="I327" s="117">
        <v>0</v>
      </c>
      <c r="J327" s="117">
        <v>0</v>
      </c>
    </row>
    <row r="328" spans="1:10" ht="11.25" customHeight="1" x14ac:dyDescent="0.2">
      <c r="A328" s="116" t="s">
        <v>332</v>
      </c>
      <c r="B328" s="121" t="s">
        <v>221</v>
      </c>
      <c r="C328" s="120"/>
      <c r="D328" s="117"/>
      <c r="E328" s="117"/>
      <c r="F328" s="117"/>
      <c r="G328" s="117"/>
      <c r="H328" s="117"/>
      <c r="I328" s="117"/>
      <c r="J328" s="117"/>
    </row>
    <row r="329" spans="1:10" ht="11.25" customHeight="1" x14ac:dyDescent="0.2">
      <c r="A329" s="116"/>
      <c r="B329" s="121" t="s">
        <v>333</v>
      </c>
      <c r="C329" s="120">
        <f>SUM(D329,F329)</f>
        <v>703605</v>
      </c>
      <c r="D329" s="120">
        <v>703605</v>
      </c>
      <c r="E329" s="117">
        <v>0</v>
      </c>
      <c r="F329" s="117">
        <v>0</v>
      </c>
      <c r="G329" s="117">
        <v>0</v>
      </c>
      <c r="H329" s="117">
        <v>0</v>
      </c>
      <c r="I329" s="117">
        <v>0</v>
      </c>
      <c r="J329" s="117">
        <v>0</v>
      </c>
    </row>
    <row r="330" spans="1:10" ht="11.25" customHeight="1" x14ac:dyDescent="0.2">
      <c r="A330" s="125" t="s">
        <v>334</v>
      </c>
      <c r="B330" s="105" t="s">
        <v>335</v>
      </c>
      <c r="C330" s="127">
        <f t="shared" ref="C330:J330" si="48">SUM(C331:C334)</f>
        <v>319435</v>
      </c>
      <c r="D330" s="127">
        <f t="shared" si="48"/>
        <v>319435</v>
      </c>
      <c r="E330" s="127">
        <f t="shared" si="48"/>
        <v>0</v>
      </c>
      <c r="F330" s="127">
        <f t="shared" si="48"/>
        <v>0</v>
      </c>
      <c r="G330" s="127">
        <f t="shared" si="48"/>
        <v>0</v>
      </c>
      <c r="H330" s="127">
        <f t="shared" si="48"/>
        <v>0</v>
      </c>
      <c r="I330" s="127">
        <f t="shared" si="48"/>
        <v>0</v>
      </c>
      <c r="J330" s="127">
        <f t="shared" si="48"/>
        <v>0</v>
      </c>
    </row>
    <row r="331" spans="1:10" ht="10.5" customHeight="1" x14ac:dyDescent="0.2">
      <c r="A331" s="116" t="s">
        <v>113</v>
      </c>
      <c r="B331" s="121" t="s">
        <v>114</v>
      </c>
      <c r="C331" s="120">
        <f>SUM(D331,F331)</f>
        <v>220982</v>
      </c>
      <c r="D331" s="117">
        <f>75702+145280</f>
        <v>220982</v>
      </c>
      <c r="E331" s="117">
        <v>0</v>
      </c>
      <c r="F331" s="117">
        <v>0</v>
      </c>
      <c r="G331" s="117">
        <v>0</v>
      </c>
      <c r="H331" s="117">
        <v>0</v>
      </c>
      <c r="I331" s="117">
        <v>0</v>
      </c>
      <c r="J331" s="117">
        <v>0</v>
      </c>
    </row>
    <row r="332" spans="1:10" ht="10.5" customHeight="1" x14ac:dyDescent="0.2">
      <c r="A332" s="116" t="s">
        <v>115</v>
      </c>
      <c r="B332" s="121" t="s">
        <v>116</v>
      </c>
      <c r="C332" s="120">
        <f>SUM(D332,F332)</f>
        <v>471</v>
      </c>
      <c r="D332" s="117">
        <v>471</v>
      </c>
      <c r="E332" s="117">
        <v>0</v>
      </c>
      <c r="F332" s="117">
        <v>0</v>
      </c>
      <c r="G332" s="117">
        <v>0</v>
      </c>
      <c r="H332" s="117">
        <v>0</v>
      </c>
      <c r="I332" s="117">
        <v>0</v>
      </c>
      <c r="J332" s="117">
        <v>0</v>
      </c>
    </row>
    <row r="333" spans="1:10" ht="10.5" customHeight="1" x14ac:dyDescent="0.2">
      <c r="A333" s="116" t="s">
        <v>332</v>
      </c>
      <c r="B333" s="121" t="s">
        <v>336</v>
      </c>
      <c r="C333" s="120"/>
      <c r="D333" s="117"/>
      <c r="E333" s="117"/>
      <c r="F333" s="117"/>
      <c r="G333" s="117"/>
      <c r="H333" s="117"/>
      <c r="I333" s="117"/>
      <c r="J333" s="117"/>
    </row>
    <row r="334" spans="1:10" ht="9.75" customHeight="1" x14ac:dyDescent="0.2">
      <c r="A334" s="116"/>
      <c r="B334" s="121" t="s">
        <v>337</v>
      </c>
      <c r="C334" s="120">
        <f>SUM(D334)</f>
        <v>97982</v>
      </c>
      <c r="D334" s="120">
        <v>97982</v>
      </c>
      <c r="E334" s="120">
        <v>0</v>
      </c>
      <c r="F334" s="120">
        <v>0</v>
      </c>
      <c r="G334" s="120">
        <v>0</v>
      </c>
      <c r="H334" s="120">
        <v>0</v>
      </c>
      <c r="I334" s="120">
        <v>0</v>
      </c>
      <c r="J334" s="120">
        <v>0</v>
      </c>
    </row>
    <row r="335" spans="1:10" ht="11.25" customHeight="1" x14ac:dyDescent="0.2">
      <c r="A335" s="125" t="s">
        <v>338</v>
      </c>
      <c r="B335" s="105" t="s">
        <v>339</v>
      </c>
      <c r="C335" s="127">
        <f t="shared" ref="C335:J335" si="49">SUM(C338)</f>
        <v>6000</v>
      </c>
      <c r="D335" s="127">
        <f t="shared" si="49"/>
        <v>6000</v>
      </c>
      <c r="E335" s="127">
        <f t="shared" si="49"/>
        <v>0</v>
      </c>
      <c r="F335" s="127">
        <f t="shared" si="49"/>
        <v>0</v>
      </c>
      <c r="G335" s="127">
        <f t="shared" si="49"/>
        <v>0</v>
      </c>
      <c r="H335" s="127">
        <f t="shared" si="49"/>
        <v>0</v>
      </c>
      <c r="I335" s="127">
        <f t="shared" si="49"/>
        <v>0</v>
      </c>
      <c r="J335" s="127">
        <f t="shared" si="49"/>
        <v>0</v>
      </c>
    </row>
    <row r="336" spans="1:10" ht="9.75" customHeight="1" x14ac:dyDescent="0.2">
      <c r="A336" s="116" t="s">
        <v>340</v>
      </c>
      <c r="B336" s="121" t="s">
        <v>341</v>
      </c>
      <c r="C336" s="120"/>
      <c r="D336" s="120"/>
      <c r="E336" s="120"/>
      <c r="F336" s="120"/>
      <c r="G336" s="120"/>
      <c r="H336" s="120"/>
      <c r="I336" s="120"/>
      <c r="J336" s="120"/>
    </row>
    <row r="337" spans="1:10" ht="10.5" customHeight="1" x14ac:dyDescent="0.2">
      <c r="A337" s="116"/>
      <c r="B337" s="121" t="s">
        <v>342</v>
      </c>
      <c r="C337" s="120"/>
      <c r="D337" s="120"/>
      <c r="E337" s="120"/>
      <c r="F337" s="120"/>
      <c r="G337" s="120"/>
      <c r="H337" s="120"/>
      <c r="I337" s="120"/>
      <c r="J337" s="120"/>
    </row>
    <row r="338" spans="1:10" ht="11.25" customHeight="1" x14ac:dyDescent="0.2">
      <c r="A338" s="133"/>
      <c r="B338" s="121" t="s">
        <v>343</v>
      </c>
      <c r="C338" s="120">
        <f>SUM(D338)</f>
        <v>6000</v>
      </c>
      <c r="D338" s="120">
        <v>6000</v>
      </c>
      <c r="E338" s="120">
        <v>0</v>
      </c>
      <c r="F338" s="120">
        <v>0</v>
      </c>
      <c r="G338" s="120">
        <v>0</v>
      </c>
      <c r="H338" s="120">
        <v>0</v>
      </c>
      <c r="I338" s="120">
        <v>0</v>
      </c>
      <c r="J338" s="120">
        <v>0</v>
      </c>
    </row>
    <row r="339" spans="1:10" ht="11.25" customHeight="1" x14ac:dyDescent="0.2">
      <c r="A339" s="133" t="s">
        <v>344</v>
      </c>
      <c r="B339" s="121" t="s">
        <v>345</v>
      </c>
      <c r="C339" s="117"/>
      <c r="D339" s="117"/>
      <c r="E339" s="117"/>
      <c r="F339" s="117"/>
      <c r="G339" s="117"/>
      <c r="H339" s="117"/>
      <c r="I339" s="117"/>
      <c r="J339" s="117"/>
    </row>
    <row r="340" spans="1:10" ht="11.25" customHeight="1" x14ac:dyDescent="0.2">
      <c r="A340" s="133"/>
      <c r="B340" s="121" t="s">
        <v>346</v>
      </c>
      <c r="C340" s="117"/>
      <c r="D340" s="117"/>
      <c r="E340" s="117"/>
      <c r="F340" s="117"/>
      <c r="G340" s="117"/>
      <c r="H340" s="117"/>
      <c r="I340" s="117"/>
      <c r="J340" s="117"/>
    </row>
    <row r="341" spans="1:10" ht="11.25" customHeight="1" x14ac:dyDescent="0.2">
      <c r="A341" s="133"/>
      <c r="B341" s="132" t="s">
        <v>347</v>
      </c>
      <c r="C341" s="117"/>
      <c r="D341" s="117"/>
      <c r="E341" s="117"/>
      <c r="F341" s="117"/>
      <c r="G341" s="117"/>
      <c r="H341" s="117"/>
      <c r="I341" s="117"/>
      <c r="J341" s="117"/>
    </row>
    <row r="342" spans="1:10" ht="11.25" customHeight="1" x14ac:dyDescent="0.2">
      <c r="A342" s="125"/>
      <c r="B342" s="168" t="s">
        <v>348</v>
      </c>
      <c r="C342" s="127">
        <f t="shared" ref="C342:J342" si="50">SUM(C343:C346)</f>
        <v>586735</v>
      </c>
      <c r="D342" s="127">
        <f t="shared" si="50"/>
        <v>586735</v>
      </c>
      <c r="E342" s="127">
        <f t="shared" si="50"/>
        <v>0</v>
      </c>
      <c r="F342" s="127">
        <f t="shared" si="50"/>
        <v>0</v>
      </c>
      <c r="G342" s="127">
        <f t="shared" si="50"/>
        <v>0</v>
      </c>
      <c r="H342" s="127">
        <f t="shared" si="50"/>
        <v>0</v>
      </c>
      <c r="I342" s="127">
        <f t="shared" si="50"/>
        <v>0</v>
      </c>
      <c r="J342" s="127">
        <f t="shared" si="50"/>
        <v>0</v>
      </c>
    </row>
    <row r="343" spans="1:10" ht="11.25" customHeight="1" x14ac:dyDescent="0.2">
      <c r="A343" s="169" t="s">
        <v>117</v>
      </c>
      <c r="B343" s="170" t="s">
        <v>118</v>
      </c>
      <c r="C343" s="171">
        <f>SUM(D343)</f>
        <v>100</v>
      </c>
      <c r="D343" s="171">
        <v>100</v>
      </c>
      <c r="E343" s="171">
        <v>0</v>
      </c>
      <c r="F343" s="171">
        <v>0</v>
      </c>
      <c r="G343" s="171">
        <v>0</v>
      </c>
      <c r="H343" s="171">
        <v>0</v>
      </c>
      <c r="I343" s="171">
        <v>0</v>
      </c>
      <c r="J343" s="171">
        <v>0</v>
      </c>
    </row>
    <row r="344" spans="1:10" ht="11.25" customHeight="1" x14ac:dyDescent="0.2">
      <c r="A344" s="116" t="s">
        <v>340</v>
      </c>
      <c r="B344" s="121" t="s">
        <v>341</v>
      </c>
      <c r="C344" s="117"/>
      <c r="D344" s="117"/>
      <c r="E344" s="117"/>
      <c r="F344" s="117"/>
      <c r="G344" s="117"/>
      <c r="H344" s="117"/>
      <c r="I344" s="117"/>
      <c r="J344" s="117"/>
    </row>
    <row r="345" spans="1:10" ht="11.25" customHeight="1" x14ac:dyDescent="0.2">
      <c r="A345" s="116"/>
      <c r="B345" s="121" t="s">
        <v>342</v>
      </c>
      <c r="C345" s="117"/>
      <c r="D345" s="117"/>
      <c r="E345" s="117"/>
      <c r="F345" s="117"/>
      <c r="G345" s="117"/>
      <c r="H345" s="117"/>
      <c r="I345" s="117"/>
      <c r="J345" s="117"/>
    </row>
    <row r="346" spans="1:10" ht="11.25" customHeight="1" x14ac:dyDescent="0.2">
      <c r="A346" s="133"/>
      <c r="B346" s="121" t="s">
        <v>343</v>
      </c>
      <c r="C346" s="120">
        <f>SUM(D346:F346)</f>
        <v>586635</v>
      </c>
      <c r="D346" s="120">
        <v>586635</v>
      </c>
      <c r="E346" s="117">
        <v>0</v>
      </c>
      <c r="F346" s="117">
        <v>0</v>
      </c>
      <c r="G346" s="117">
        <v>0</v>
      </c>
      <c r="H346" s="117">
        <v>0</v>
      </c>
      <c r="I346" s="117">
        <v>0</v>
      </c>
      <c r="J346" s="117">
        <v>0</v>
      </c>
    </row>
    <row r="347" spans="1:10" ht="11.25" customHeight="1" x14ac:dyDescent="0.2">
      <c r="A347" s="133" t="s">
        <v>349</v>
      </c>
      <c r="B347" s="121" t="s">
        <v>350</v>
      </c>
      <c r="C347" s="117"/>
      <c r="D347" s="117"/>
      <c r="E347" s="117"/>
      <c r="F347" s="117"/>
      <c r="G347" s="117"/>
      <c r="H347" s="117"/>
      <c r="I347" s="117"/>
      <c r="J347" s="117"/>
    </row>
    <row r="348" spans="1:10" ht="11.25" customHeight="1" x14ac:dyDescent="0.2">
      <c r="A348" s="125"/>
      <c r="B348" s="105" t="s">
        <v>351</v>
      </c>
      <c r="C348" s="127">
        <f>SUM(C349:C352)</f>
        <v>6614084</v>
      </c>
      <c r="D348" s="127">
        <f t="shared" ref="D348:J348" si="51">SUM(D349:D352)</f>
        <v>6614084</v>
      </c>
      <c r="E348" s="127">
        <f t="shared" si="51"/>
        <v>0</v>
      </c>
      <c r="F348" s="127">
        <f t="shared" si="51"/>
        <v>0</v>
      </c>
      <c r="G348" s="127">
        <f t="shared" si="51"/>
        <v>0</v>
      </c>
      <c r="H348" s="127">
        <f t="shared" si="51"/>
        <v>0</v>
      </c>
      <c r="I348" s="127">
        <f t="shared" si="51"/>
        <v>0</v>
      </c>
      <c r="J348" s="127">
        <f t="shared" si="51"/>
        <v>0</v>
      </c>
    </row>
    <row r="349" spans="1:10" ht="11.25" customHeight="1" x14ac:dyDescent="0.2">
      <c r="A349" s="159" t="s">
        <v>117</v>
      </c>
      <c r="B349" s="160" t="s">
        <v>118</v>
      </c>
      <c r="C349" s="118">
        <f>SUM(D349:F349)</f>
        <v>16700</v>
      </c>
      <c r="D349" s="119">
        <v>16700</v>
      </c>
      <c r="E349" s="119">
        <v>0</v>
      </c>
      <c r="F349" s="119">
        <v>0</v>
      </c>
      <c r="G349" s="119">
        <v>0</v>
      </c>
      <c r="H349" s="119">
        <v>0</v>
      </c>
      <c r="I349" s="119">
        <v>0</v>
      </c>
      <c r="J349" s="119">
        <v>0</v>
      </c>
    </row>
    <row r="350" spans="1:10" ht="11.25" customHeight="1" x14ac:dyDescent="0.2">
      <c r="A350" s="116" t="s">
        <v>340</v>
      </c>
      <c r="B350" s="121" t="s">
        <v>341</v>
      </c>
      <c r="C350" s="117"/>
      <c r="D350" s="117"/>
      <c r="E350" s="117"/>
      <c r="F350" s="117"/>
      <c r="G350" s="117"/>
      <c r="H350" s="117"/>
      <c r="I350" s="117"/>
      <c r="J350" s="117"/>
    </row>
    <row r="351" spans="1:10" ht="11.25" customHeight="1" x14ac:dyDescent="0.2">
      <c r="A351" s="116"/>
      <c r="B351" s="121" t="s">
        <v>342</v>
      </c>
      <c r="C351" s="117"/>
      <c r="D351" s="117"/>
      <c r="E351" s="117"/>
      <c r="F351" s="117"/>
      <c r="G351" s="117"/>
      <c r="H351" s="117"/>
      <c r="I351" s="117"/>
      <c r="J351" s="117"/>
    </row>
    <row r="352" spans="1:10" ht="11.25" customHeight="1" x14ac:dyDescent="0.2">
      <c r="A352" s="133"/>
      <c r="B352" s="121" t="s">
        <v>343</v>
      </c>
      <c r="C352" s="120">
        <f>SUM(D352:F352)</f>
        <v>6597384</v>
      </c>
      <c r="D352" s="120">
        <v>6597384</v>
      </c>
      <c r="E352" s="117">
        <v>0</v>
      </c>
      <c r="F352" s="117">
        <v>0</v>
      </c>
      <c r="G352" s="117">
        <v>0</v>
      </c>
      <c r="H352" s="117">
        <v>0</v>
      </c>
      <c r="I352" s="117">
        <v>0</v>
      </c>
      <c r="J352" s="117">
        <v>0</v>
      </c>
    </row>
    <row r="353" spans="1:10" ht="11.25" customHeight="1" x14ac:dyDescent="0.2">
      <c r="A353" s="125" t="s">
        <v>352</v>
      </c>
      <c r="B353" s="105" t="s">
        <v>353</v>
      </c>
      <c r="C353" s="127">
        <f t="shared" ref="C353:J353" si="52">SUM(C354:C355)</f>
        <v>440</v>
      </c>
      <c r="D353" s="127">
        <f t="shared" si="52"/>
        <v>440</v>
      </c>
      <c r="E353" s="127">
        <f t="shared" si="52"/>
        <v>0</v>
      </c>
      <c r="F353" s="127">
        <f t="shared" si="52"/>
        <v>0</v>
      </c>
      <c r="G353" s="127">
        <f t="shared" si="52"/>
        <v>0</v>
      </c>
      <c r="H353" s="127">
        <f t="shared" si="52"/>
        <v>0</v>
      </c>
      <c r="I353" s="127">
        <f t="shared" si="52"/>
        <v>0</v>
      </c>
      <c r="J353" s="127">
        <f t="shared" si="52"/>
        <v>0</v>
      </c>
    </row>
    <row r="354" spans="1:10" ht="11.25" customHeight="1" x14ac:dyDescent="0.2">
      <c r="A354" s="116" t="s">
        <v>115</v>
      </c>
      <c r="B354" s="121" t="s">
        <v>116</v>
      </c>
      <c r="C354" s="120">
        <f>SUM(D354)</f>
        <v>100</v>
      </c>
      <c r="D354" s="120">
        <v>100</v>
      </c>
      <c r="E354" s="120">
        <v>0</v>
      </c>
      <c r="F354" s="120">
        <v>0</v>
      </c>
      <c r="G354" s="120">
        <v>0</v>
      </c>
      <c r="H354" s="120">
        <v>0</v>
      </c>
      <c r="I354" s="120">
        <v>0</v>
      </c>
      <c r="J354" s="120">
        <v>0</v>
      </c>
    </row>
    <row r="355" spans="1:10" ht="11.25" customHeight="1" x14ac:dyDescent="0.2">
      <c r="A355" s="116" t="s">
        <v>117</v>
      </c>
      <c r="B355" s="128" t="s">
        <v>118</v>
      </c>
      <c r="C355" s="120">
        <f>SUM(D355:F355)</f>
        <v>340</v>
      </c>
      <c r="D355" s="117">
        <v>340</v>
      </c>
      <c r="E355" s="117">
        <v>0</v>
      </c>
      <c r="F355" s="117">
        <v>0</v>
      </c>
      <c r="G355" s="117">
        <v>0</v>
      </c>
      <c r="H355" s="117">
        <v>0</v>
      </c>
      <c r="I355" s="117">
        <v>0</v>
      </c>
      <c r="J355" s="117">
        <v>0</v>
      </c>
    </row>
    <row r="356" spans="1:10" ht="11.25" customHeight="1" x14ac:dyDescent="0.2">
      <c r="A356" s="125" t="s">
        <v>354</v>
      </c>
      <c r="B356" s="105" t="s">
        <v>355</v>
      </c>
      <c r="C356" s="127">
        <f t="shared" ref="C356:J356" si="53">SUM(C357:C360)</f>
        <v>5241603</v>
      </c>
      <c r="D356" s="127">
        <f t="shared" si="53"/>
        <v>5241603</v>
      </c>
      <c r="E356" s="127">
        <f t="shared" si="53"/>
        <v>0</v>
      </c>
      <c r="F356" s="127">
        <f t="shared" si="53"/>
        <v>0</v>
      </c>
      <c r="G356" s="127">
        <f t="shared" si="53"/>
        <v>0</v>
      </c>
      <c r="H356" s="127">
        <f t="shared" si="53"/>
        <v>0</v>
      </c>
      <c r="I356" s="127">
        <f t="shared" si="53"/>
        <v>0</v>
      </c>
      <c r="J356" s="127">
        <f t="shared" si="53"/>
        <v>0</v>
      </c>
    </row>
    <row r="357" spans="1:10" ht="11.25" customHeight="1" x14ac:dyDescent="0.2">
      <c r="A357" s="116" t="s">
        <v>117</v>
      </c>
      <c r="B357" s="128" t="s">
        <v>118</v>
      </c>
      <c r="C357" s="120">
        <f>SUM(D357:F357)</f>
        <v>26000</v>
      </c>
      <c r="D357" s="117">
        <v>26000</v>
      </c>
      <c r="E357" s="117">
        <v>0</v>
      </c>
      <c r="F357" s="117">
        <v>0</v>
      </c>
      <c r="G357" s="117">
        <v>0</v>
      </c>
      <c r="H357" s="117">
        <v>0</v>
      </c>
      <c r="I357" s="117">
        <v>0</v>
      </c>
      <c r="J357" s="117">
        <v>0</v>
      </c>
    </row>
    <row r="358" spans="1:10" ht="11.25" customHeight="1" x14ac:dyDescent="0.2">
      <c r="A358" s="116" t="s">
        <v>340</v>
      </c>
      <c r="B358" s="121" t="s">
        <v>341</v>
      </c>
      <c r="C358" s="117"/>
      <c r="D358" s="117"/>
      <c r="E358" s="117"/>
      <c r="F358" s="117"/>
      <c r="G358" s="117"/>
      <c r="H358" s="117"/>
      <c r="I358" s="117"/>
      <c r="J358" s="117"/>
    </row>
    <row r="359" spans="1:10" ht="11.25" customHeight="1" x14ac:dyDescent="0.2">
      <c r="A359" s="116"/>
      <c r="B359" s="121" t="s">
        <v>342</v>
      </c>
      <c r="C359" s="117"/>
      <c r="D359" s="117"/>
      <c r="E359" s="117"/>
      <c r="F359" s="117"/>
      <c r="G359" s="117"/>
      <c r="H359" s="117"/>
      <c r="I359" s="117"/>
      <c r="J359" s="117"/>
    </row>
    <row r="360" spans="1:10" ht="11.25" customHeight="1" x14ac:dyDescent="0.2">
      <c r="A360" s="133"/>
      <c r="B360" s="121" t="s">
        <v>343</v>
      </c>
      <c r="C360" s="120">
        <f>SUM(D360:F360)</f>
        <v>5215603</v>
      </c>
      <c r="D360" s="120">
        <v>5215603</v>
      </c>
      <c r="E360" s="117">
        <v>0</v>
      </c>
      <c r="F360" s="117">
        <v>0</v>
      </c>
      <c r="G360" s="117">
        <v>0</v>
      </c>
      <c r="H360" s="117">
        <v>0</v>
      </c>
      <c r="I360" s="117">
        <v>0</v>
      </c>
      <c r="J360" s="117">
        <v>0</v>
      </c>
    </row>
    <row r="361" spans="1:10" ht="11.25" customHeight="1" x14ac:dyDescent="0.2">
      <c r="A361" s="125" t="s">
        <v>356</v>
      </c>
      <c r="B361" s="105" t="s">
        <v>357</v>
      </c>
      <c r="C361" s="127">
        <f t="shared" ref="C361:J361" si="54">SUM(C362:C374)</f>
        <v>2621672</v>
      </c>
      <c r="D361" s="127">
        <f t="shared" si="54"/>
        <v>2621672</v>
      </c>
      <c r="E361" s="127">
        <f t="shared" si="54"/>
        <v>0</v>
      </c>
      <c r="F361" s="127">
        <f t="shared" si="54"/>
        <v>0</v>
      </c>
      <c r="G361" s="127">
        <f t="shared" si="54"/>
        <v>0</v>
      </c>
      <c r="H361" s="127">
        <f t="shared" si="54"/>
        <v>0</v>
      </c>
      <c r="I361" s="127">
        <f t="shared" si="54"/>
        <v>0</v>
      </c>
      <c r="J361" s="127">
        <f t="shared" si="54"/>
        <v>0</v>
      </c>
    </row>
    <row r="362" spans="1:10" ht="32.25" customHeight="1" x14ac:dyDescent="0.2">
      <c r="A362" s="130" t="s">
        <v>196</v>
      </c>
      <c r="B362" s="137" t="s">
        <v>358</v>
      </c>
      <c r="C362" s="120">
        <f>SUM(D362:F362)</f>
        <v>150</v>
      </c>
      <c r="D362" s="120">
        <v>150</v>
      </c>
      <c r="E362" s="120">
        <v>0</v>
      </c>
      <c r="F362" s="120">
        <v>0</v>
      </c>
      <c r="G362" s="120">
        <v>0</v>
      </c>
      <c r="H362" s="120">
        <v>0</v>
      </c>
      <c r="I362" s="120">
        <v>0</v>
      </c>
      <c r="J362" s="120">
        <v>0</v>
      </c>
    </row>
    <row r="363" spans="1:10" ht="11.25" customHeight="1" x14ac:dyDescent="0.2">
      <c r="A363" s="116" t="s">
        <v>152</v>
      </c>
      <c r="B363" s="121" t="s">
        <v>153</v>
      </c>
      <c r="C363" s="120"/>
      <c r="D363" s="117"/>
      <c r="E363" s="117"/>
      <c r="F363" s="117"/>
      <c r="G363" s="117"/>
      <c r="H363" s="117"/>
      <c r="I363" s="117"/>
      <c r="J363" s="117"/>
    </row>
    <row r="364" spans="1:10" ht="11.25" customHeight="1" x14ac:dyDescent="0.2">
      <c r="A364" s="138"/>
      <c r="B364" s="121" t="s">
        <v>154</v>
      </c>
      <c r="C364" s="120">
        <f>SUM(D364:F364)</f>
        <v>128</v>
      </c>
      <c r="D364" s="117">
        <v>128</v>
      </c>
      <c r="E364" s="117">
        <v>0</v>
      </c>
      <c r="F364" s="117">
        <v>0</v>
      </c>
      <c r="G364" s="117">
        <v>0</v>
      </c>
      <c r="H364" s="117">
        <v>0</v>
      </c>
      <c r="I364" s="117">
        <v>0</v>
      </c>
      <c r="J364" s="117">
        <v>0</v>
      </c>
    </row>
    <row r="365" spans="1:10" ht="11.25" customHeight="1" x14ac:dyDescent="0.2">
      <c r="A365" s="116" t="s">
        <v>99</v>
      </c>
      <c r="B365" s="121" t="s">
        <v>172</v>
      </c>
      <c r="C365" s="117"/>
      <c r="D365" s="117"/>
      <c r="E365" s="117"/>
      <c r="F365" s="117"/>
      <c r="G365" s="117"/>
      <c r="H365" s="117"/>
      <c r="I365" s="117"/>
      <c r="J365" s="117"/>
    </row>
    <row r="366" spans="1:10" ht="11.25" customHeight="1" x14ac:dyDescent="0.2">
      <c r="A366" s="143"/>
      <c r="B366" s="121" t="s">
        <v>173</v>
      </c>
      <c r="C366" s="117"/>
      <c r="D366" s="117"/>
      <c r="E366" s="117"/>
      <c r="F366" s="117"/>
      <c r="G366" s="117"/>
      <c r="H366" s="117"/>
      <c r="I366" s="117"/>
      <c r="J366" s="117"/>
    </row>
    <row r="367" spans="1:10" ht="11.25" customHeight="1" x14ac:dyDescent="0.2">
      <c r="A367" s="143"/>
      <c r="B367" s="121" t="s">
        <v>174</v>
      </c>
      <c r="C367" s="117"/>
      <c r="D367" s="117"/>
      <c r="E367" s="117"/>
      <c r="F367" s="117"/>
      <c r="G367" s="117"/>
      <c r="H367" s="117"/>
      <c r="I367" s="117"/>
      <c r="J367" s="117"/>
    </row>
    <row r="368" spans="1:10" ht="11.25" customHeight="1" x14ac:dyDescent="0.2">
      <c r="A368" s="143"/>
      <c r="B368" s="121" t="s">
        <v>175</v>
      </c>
      <c r="C368" s="120">
        <f>SUM(D368,F368)</f>
        <v>7550</v>
      </c>
      <c r="D368" s="117">
        <v>7550</v>
      </c>
      <c r="E368" s="117">
        <v>0</v>
      </c>
      <c r="F368" s="117">
        <v>0</v>
      </c>
      <c r="G368" s="117">
        <v>0</v>
      </c>
      <c r="H368" s="117">
        <v>0</v>
      </c>
      <c r="I368" s="117">
        <v>0</v>
      </c>
      <c r="J368" s="117">
        <v>0</v>
      </c>
    </row>
    <row r="369" spans="1:10" ht="11.25" customHeight="1" x14ac:dyDescent="0.2">
      <c r="A369" s="116" t="s">
        <v>115</v>
      </c>
      <c r="B369" s="121" t="s">
        <v>116</v>
      </c>
      <c r="C369" s="120">
        <f>SUM(D369,F369)</f>
        <v>16300</v>
      </c>
      <c r="D369" s="117">
        <v>16300</v>
      </c>
      <c r="E369" s="117">
        <v>0</v>
      </c>
      <c r="F369" s="117">
        <v>0</v>
      </c>
      <c r="G369" s="117">
        <v>0</v>
      </c>
      <c r="H369" s="117">
        <v>0</v>
      </c>
      <c r="I369" s="117">
        <v>0</v>
      </c>
      <c r="J369" s="117">
        <v>0</v>
      </c>
    </row>
    <row r="370" spans="1:10" ht="11.25" customHeight="1" x14ac:dyDescent="0.2">
      <c r="A370" s="116" t="s">
        <v>117</v>
      </c>
      <c r="B370" s="128" t="s">
        <v>118</v>
      </c>
      <c r="C370" s="120">
        <f>SUM(D370:F370)</f>
        <v>2180</v>
      </c>
      <c r="D370" s="117">
        <v>2180</v>
      </c>
      <c r="E370" s="117">
        <v>0</v>
      </c>
      <c r="F370" s="117">
        <v>0</v>
      </c>
      <c r="G370" s="117">
        <v>0</v>
      </c>
      <c r="H370" s="117">
        <v>0</v>
      </c>
      <c r="I370" s="117">
        <v>0</v>
      </c>
      <c r="J370" s="117">
        <v>0</v>
      </c>
    </row>
    <row r="371" spans="1:10" ht="11.25" customHeight="1" x14ac:dyDescent="0.2">
      <c r="A371" s="116" t="s">
        <v>119</v>
      </c>
      <c r="B371" s="128" t="s">
        <v>120</v>
      </c>
      <c r="C371" s="120">
        <f>SUM(D371:F371)</f>
        <v>200</v>
      </c>
      <c r="D371" s="117">
        <v>200</v>
      </c>
      <c r="E371" s="117">
        <v>0</v>
      </c>
      <c r="F371" s="117">
        <v>0</v>
      </c>
      <c r="G371" s="117">
        <v>0</v>
      </c>
      <c r="H371" s="117">
        <v>0</v>
      </c>
      <c r="I371" s="117">
        <v>0</v>
      </c>
      <c r="J371" s="117">
        <v>0</v>
      </c>
    </row>
    <row r="372" spans="1:10" ht="11.25" customHeight="1" x14ac:dyDescent="0.2">
      <c r="A372" s="116" t="s">
        <v>340</v>
      </c>
      <c r="B372" s="121" t="s">
        <v>341</v>
      </c>
      <c r="C372" s="117"/>
      <c r="D372" s="117"/>
      <c r="E372" s="117"/>
      <c r="F372" s="117"/>
      <c r="G372" s="117"/>
      <c r="H372" s="117"/>
      <c r="I372" s="117"/>
      <c r="J372" s="117"/>
    </row>
    <row r="373" spans="1:10" ht="11.25" customHeight="1" x14ac:dyDescent="0.2">
      <c r="A373" s="116"/>
      <c r="B373" s="121" t="s">
        <v>342</v>
      </c>
      <c r="C373" s="117"/>
      <c r="D373" s="117"/>
      <c r="E373" s="117"/>
      <c r="F373" s="117"/>
      <c r="G373" s="117"/>
      <c r="H373" s="117"/>
      <c r="I373" s="117"/>
      <c r="J373" s="117"/>
    </row>
    <row r="374" spans="1:10" ht="11.25" customHeight="1" x14ac:dyDescent="0.2">
      <c r="A374" s="133"/>
      <c r="B374" s="121" t="s">
        <v>343</v>
      </c>
      <c r="C374" s="120">
        <f>SUM(D374,F374)</f>
        <v>2595164</v>
      </c>
      <c r="D374" s="120">
        <v>2595164</v>
      </c>
      <c r="E374" s="117">
        <v>0</v>
      </c>
      <c r="F374" s="117">
        <v>0</v>
      </c>
      <c r="G374" s="117">
        <v>0</v>
      </c>
      <c r="H374" s="117">
        <v>0</v>
      </c>
      <c r="I374" s="117">
        <v>0</v>
      </c>
      <c r="J374" s="117">
        <v>0</v>
      </c>
    </row>
    <row r="375" spans="1:10" ht="11.25" customHeight="1" x14ac:dyDescent="0.2">
      <c r="A375" s="116" t="s">
        <v>359</v>
      </c>
      <c r="B375" s="121" t="s">
        <v>360</v>
      </c>
      <c r="C375" s="120"/>
      <c r="D375" s="117"/>
      <c r="E375" s="117"/>
      <c r="F375" s="117"/>
      <c r="G375" s="117"/>
      <c r="H375" s="117"/>
      <c r="I375" s="117"/>
      <c r="J375" s="117"/>
    </row>
    <row r="376" spans="1:10" ht="11.25" customHeight="1" x14ac:dyDescent="0.2">
      <c r="A376" s="146"/>
      <c r="B376" s="105" t="s">
        <v>361</v>
      </c>
      <c r="C376" s="127">
        <f t="shared" ref="C376:J376" si="55">SUM(C379)</f>
        <v>47967</v>
      </c>
      <c r="D376" s="127">
        <f t="shared" si="55"/>
        <v>47967</v>
      </c>
      <c r="E376" s="127">
        <f t="shared" si="55"/>
        <v>0</v>
      </c>
      <c r="F376" s="127">
        <f t="shared" si="55"/>
        <v>0</v>
      </c>
      <c r="G376" s="127">
        <f t="shared" si="55"/>
        <v>0</v>
      </c>
      <c r="H376" s="127">
        <f t="shared" si="55"/>
        <v>0</v>
      </c>
      <c r="I376" s="127">
        <f t="shared" si="55"/>
        <v>0</v>
      </c>
      <c r="J376" s="127">
        <f t="shared" si="55"/>
        <v>0</v>
      </c>
    </row>
    <row r="377" spans="1:10" ht="9.75" customHeight="1" x14ac:dyDescent="0.2">
      <c r="A377" s="116" t="s">
        <v>340</v>
      </c>
      <c r="B377" s="121" t="s">
        <v>341</v>
      </c>
      <c r="C377" s="120"/>
      <c r="D377" s="117"/>
      <c r="E377" s="117"/>
      <c r="F377" s="117"/>
      <c r="G377" s="117"/>
      <c r="H377" s="117"/>
      <c r="I377" s="117"/>
      <c r="J377" s="117"/>
    </row>
    <row r="378" spans="1:10" ht="10.5" customHeight="1" x14ac:dyDescent="0.2">
      <c r="A378" s="133"/>
      <c r="B378" s="121" t="s">
        <v>342</v>
      </c>
      <c r="C378" s="120"/>
      <c r="D378" s="117"/>
      <c r="E378" s="117"/>
      <c r="F378" s="117"/>
      <c r="G378" s="117"/>
      <c r="H378" s="117"/>
      <c r="I378" s="117"/>
      <c r="J378" s="117"/>
    </row>
    <row r="379" spans="1:10" ht="9.75" customHeight="1" x14ac:dyDescent="0.2">
      <c r="A379" s="133"/>
      <c r="B379" s="121" t="s">
        <v>343</v>
      </c>
      <c r="C379" s="120">
        <f>SUM(D379)</f>
        <v>47967</v>
      </c>
      <c r="D379" s="120">
        <v>47967</v>
      </c>
      <c r="E379" s="120">
        <v>0</v>
      </c>
      <c r="F379" s="120">
        <v>0</v>
      </c>
      <c r="G379" s="120">
        <v>0</v>
      </c>
      <c r="H379" s="120">
        <v>0</v>
      </c>
      <c r="I379" s="120">
        <v>0</v>
      </c>
      <c r="J379" s="120">
        <v>0</v>
      </c>
    </row>
    <row r="380" spans="1:10" ht="11.25" customHeight="1" x14ac:dyDescent="0.2">
      <c r="A380" s="146" t="s">
        <v>362</v>
      </c>
      <c r="B380" s="105" t="s">
        <v>363</v>
      </c>
      <c r="C380" s="127">
        <f t="shared" ref="C380:J380" si="56">SUM(C381:C384)</f>
        <v>2137376</v>
      </c>
      <c r="D380" s="127">
        <f t="shared" si="56"/>
        <v>2137376</v>
      </c>
      <c r="E380" s="127">
        <f t="shared" si="56"/>
        <v>0</v>
      </c>
      <c r="F380" s="127">
        <f t="shared" si="56"/>
        <v>0</v>
      </c>
      <c r="G380" s="127">
        <f t="shared" si="56"/>
        <v>0</v>
      </c>
      <c r="H380" s="127">
        <f t="shared" si="56"/>
        <v>0</v>
      </c>
      <c r="I380" s="127">
        <f t="shared" si="56"/>
        <v>0</v>
      </c>
      <c r="J380" s="127">
        <f t="shared" si="56"/>
        <v>0</v>
      </c>
    </row>
    <row r="381" spans="1:10" ht="10.5" customHeight="1" x14ac:dyDescent="0.2">
      <c r="A381" s="169" t="s">
        <v>113</v>
      </c>
      <c r="B381" s="172" t="s">
        <v>114</v>
      </c>
      <c r="C381" s="171">
        <f>SUM(D381:F381)</f>
        <v>2120700</v>
      </c>
      <c r="D381" s="173">
        <v>2120700</v>
      </c>
      <c r="E381" s="173">
        <v>0</v>
      </c>
      <c r="F381" s="173">
        <v>0</v>
      </c>
      <c r="G381" s="173">
        <v>0</v>
      </c>
      <c r="H381" s="173">
        <v>0</v>
      </c>
      <c r="I381" s="173">
        <v>0</v>
      </c>
      <c r="J381" s="173">
        <v>0</v>
      </c>
    </row>
    <row r="382" spans="1:10" ht="11.25" customHeight="1" x14ac:dyDescent="0.2">
      <c r="A382" s="116" t="s">
        <v>190</v>
      </c>
      <c r="B382" s="121" t="s">
        <v>191</v>
      </c>
      <c r="C382" s="117"/>
      <c r="D382" s="117"/>
      <c r="E382" s="117"/>
      <c r="F382" s="117"/>
      <c r="G382" s="117"/>
      <c r="H382" s="117"/>
      <c r="I382" s="117"/>
      <c r="J382" s="117"/>
    </row>
    <row r="383" spans="1:10" ht="9" customHeight="1" x14ac:dyDescent="0.2">
      <c r="A383" s="133"/>
      <c r="B383" s="121" t="s">
        <v>226</v>
      </c>
      <c r="C383" s="117"/>
      <c r="D383" s="117"/>
      <c r="E383" s="117"/>
      <c r="F383" s="117"/>
      <c r="G383" s="117"/>
      <c r="H383" s="117"/>
      <c r="I383" s="117"/>
      <c r="J383" s="117"/>
    </row>
    <row r="384" spans="1:10" ht="11.25" customHeight="1" x14ac:dyDescent="0.2">
      <c r="A384" s="125"/>
      <c r="B384" s="105" t="s">
        <v>193</v>
      </c>
      <c r="C384" s="127">
        <f>SUM(D384:F384)</f>
        <v>16676</v>
      </c>
      <c r="D384" s="127">
        <v>16676</v>
      </c>
      <c r="E384" s="147">
        <v>0</v>
      </c>
      <c r="F384" s="147">
        <v>0</v>
      </c>
      <c r="G384" s="147">
        <v>0</v>
      </c>
      <c r="H384" s="147">
        <v>0</v>
      </c>
      <c r="I384" s="147">
        <v>0</v>
      </c>
      <c r="J384" s="147">
        <v>0</v>
      </c>
    </row>
    <row r="385" spans="1:10" ht="11.25" customHeight="1" x14ac:dyDescent="0.2">
      <c r="A385" s="125" t="s">
        <v>364</v>
      </c>
      <c r="B385" s="105" t="s">
        <v>365</v>
      </c>
      <c r="C385" s="127">
        <f t="shared" ref="C385:J385" si="57">SUM(C386:C389)</f>
        <v>3355300</v>
      </c>
      <c r="D385" s="127">
        <f t="shared" si="57"/>
        <v>3355300</v>
      </c>
      <c r="E385" s="127">
        <f t="shared" si="57"/>
        <v>0</v>
      </c>
      <c r="F385" s="127">
        <f t="shared" si="57"/>
        <v>0</v>
      </c>
      <c r="G385" s="127">
        <f t="shared" si="57"/>
        <v>0</v>
      </c>
      <c r="H385" s="127">
        <f t="shared" si="57"/>
        <v>0</v>
      </c>
      <c r="I385" s="127">
        <f t="shared" si="57"/>
        <v>0</v>
      </c>
      <c r="J385" s="127">
        <f t="shared" si="57"/>
        <v>0</v>
      </c>
    </row>
    <row r="386" spans="1:10" ht="11.25" customHeight="1" x14ac:dyDescent="0.2">
      <c r="A386" s="116" t="s">
        <v>117</v>
      </c>
      <c r="B386" s="121" t="s">
        <v>118</v>
      </c>
      <c r="C386" s="120">
        <f>SUM(D386+F386)</f>
        <v>500</v>
      </c>
      <c r="D386" s="120">
        <v>500</v>
      </c>
      <c r="E386" s="120">
        <v>0</v>
      </c>
      <c r="F386" s="120">
        <v>0</v>
      </c>
      <c r="G386" s="120">
        <v>0</v>
      </c>
      <c r="H386" s="120">
        <v>0</v>
      </c>
      <c r="I386" s="120">
        <v>0</v>
      </c>
      <c r="J386" s="120">
        <v>0</v>
      </c>
    </row>
    <row r="387" spans="1:10" ht="11.25" customHeight="1" x14ac:dyDescent="0.2">
      <c r="A387" s="116" t="s">
        <v>340</v>
      </c>
      <c r="B387" s="121" t="s">
        <v>341</v>
      </c>
      <c r="C387" s="120"/>
      <c r="D387" s="117"/>
      <c r="E387" s="117"/>
      <c r="F387" s="117"/>
      <c r="G387" s="117"/>
      <c r="H387" s="117"/>
      <c r="I387" s="117"/>
      <c r="J387" s="117"/>
    </row>
    <row r="388" spans="1:10" ht="11.25" customHeight="1" x14ac:dyDescent="0.2">
      <c r="A388" s="174"/>
      <c r="B388" s="121" t="s">
        <v>342</v>
      </c>
      <c r="C388" s="120"/>
      <c r="D388" s="117"/>
      <c r="E388" s="117"/>
      <c r="F388" s="117"/>
      <c r="G388" s="117"/>
      <c r="H388" s="117"/>
      <c r="I388" s="117"/>
      <c r="J388" s="117"/>
    </row>
    <row r="389" spans="1:10" ht="11.25" customHeight="1" x14ac:dyDescent="0.2">
      <c r="A389" s="138"/>
      <c r="B389" s="121" t="s">
        <v>343</v>
      </c>
      <c r="C389" s="120">
        <f>SUM(D389:F389)</f>
        <v>3354800</v>
      </c>
      <c r="D389" s="120">
        <v>3354800</v>
      </c>
      <c r="E389" s="117">
        <v>0</v>
      </c>
      <c r="F389" s="117">
        <v>0</v>
      </c>
      <c r="G389" s="117">
        <v>0</v>
      </c>
      <c r="H389" s="117">
        <v>0</v>
      </c>
      <c r="I389" s="117">
        <v>0</v>
      </c>
      <c r="J389" s="117">
        <v>0</v>
      </c>
    </row>
    <row r="390" spans="1:10" ht="11.25" customHeight="1" x14ac:dyDescent="0.2">
      <c r="A390" s="125" t="s">
        <v>366</v>
      </c>
      <c r="B390" s="105" t="s">
        <v>367</v>
      </c>
      <c r="C390" s="127">
        <f t="shared" ref="C390:J390" si="58">SUM(C391:C402)</f>
        <v>986723.13</v>
      </c>
      <c r="D390" s="127">
        <f t="shared" si="58"/>
        <v>986723.13</v>
      </c>
      <c r="E390" s="127">
        <f t="shared" si="58"/>
        <v>527677.13</v>
      </c>
      <c r="F390" s="127">
        <f t="shared" si="58"/>
        <v>0</v>
      </c>
      <c r="G390" s="127">
        <f t="shared" si="58"/>
        <v>0</v>
      </c>
      <c r="H390" s="127">
        <f t="shared" si="58"/>
        <v>0</v>
      </c>
      <c r="I390" s="127">
        <f t="shared" si="58"/>
        <v>0</v>
      </c>
      <c r="J390" s="127">
        <f t="shared" si="58"/>
        <v>0</v>
      </c>
    </row>
    <row r="391" spans="1:10" ht="11.25" customHeight="1" x14ac:dyDescent="0.2">
      <c r="A391" s="116" t="s">
        <v>113</v>
      </c>
      <c r="B391" s="121" t="s">
        <v>114</v>
      </c>
      <c r="C391" s="120">
        <f>SUM(D391:F391)</f>
        <v>385446</v>
      </c>
      <c r="D391" s="117">
        <f>30146+355300</f>
        <v>385446</v>
      </c>
      <c r="E391" s="117">
        <v>0</v>
      </c>
      <c r="F391" s="117">
        <v>0</v>
      </c>
      <c r="G391" s="117">
        <v>0</v>
      </c>
      <c r="H391" s="117">
        <v>0</v>
      </c>
      <c r="I391" s="117">
        <v>0</v>
      </c>
      <c r="J391" s="117">
        <v>0</v>
      </c>
    </row>
    <row r="392" spans="1:10" ht="11.25" customHeight="1" x14ac:dyDescent="0.2">
      <c r="A392" s="116" t="s">
        <v>121</v>
      </c>
      <c r="B392" s="121" t="s">
        <v>122</v>
      </c>
      <c r="C392" s="120">
        <f>SUM(D392:F392)</f>
        <v>73600</v>
      </c>
      <c r="D392" s="117">
        <v>73600</v>
      </c>
      <c r="E392" s="117">
        <v>0</v>
      </c>
      <c r="F392" s="117">
        <v>0</v>
      </c>
      <c r="G392" s="117">
        <v>0</v>
      </c>
      <c r="H392" s="117">
        <v>0</v>
      </c>
      <c r="I392" s="117">
        <v>0</v>
      </c>
      <c r="J392" s="117">
        <v>0</v>
      </c>
    </row>
    <row r="393" spans="1:10" ht="11.25" customHeight="1" x14ac:dyDescent="0.2">
      <c r="A393" s="116" t="s">
        <v>200</v>
      </c>
      <c r="B393" s="121" t="s">
        <v>139</v>
      </c>
      <c r="C393" s="120"/>
      <c r="D393" s="117"/>
      <c r="E393" s="117"/>
      <c r="F393" s="117"/>
      <c r="G393" s="117"/>
      <c r="H393" s="117"/>
      <c r="I393" s="117"/>
      <c r="J393" s="117"/>
    </row>
    <row r="394" spans="1:10" ht="11.25" customHeight="1" x14ac:dyDescent="0.2">
      <c r="A394" s="116"/>
      <c r="B394" s="121" t="s">
        <v>319</v>
      </c>
      <c r="C394" s="120"/>
      <c r="D394" s="117"/>
      <c r="E394" s="117"/>
      <c r="F394" s="117"/>
      <c r="G394" s="117"/>
      <c r="H394" s="117"/>
      <c r="I394" s="117"/>
      <c r="J394" s="117"/>
    </row>
    <row r="395" spans="1:10" ht="11.25" customHeight="1" x14ac:dyDescent="0.2">
      <c r="A395" s="116"/>
      <c r="B395" s="121" t="s">
        <v>320</v>
      </c>
      <c r="C395" s="120"/>
      <c r="D395" s="117"/>
      <c r="E395" s="117"/>
      <c r="F395" s="117"/>
      <c r="G395" s="117"/>
      <c r="H395" s="117"/>
      <c r="I395" s="117"/>
      <c r="J395" s="117"/>
    </row>
    <row r="396" spans="1:10" ht="11.25" customHeight="1" x14ac:dyDescent="0.2">
      <c r="A396" s="116"/>
      <c r="B396" s="121" t="s">
        <v>321</v>
      </c>
      <c r="C396" s="120"/>
      <c r="D396" s="117"/>
      <c r="E396" s="117"/>
      <c r="F396" s="117"/>
      <c r="G396" s="117"/>
      <c r="H396" s="117"/>
      <c r="I396" s="117"/>
      <c r="J396" s="117"/>
    </row>
    <row r="397" spans="1:10" ht="11.25" customHeight="1" x14ac:dyDescent="0.2">
      <c r="A397" s="116"/>
      <c r="B397" s="121" t="s">
        <v>322</v>
      </c>
      <c r="C397" s="120">
        <f>SUM(D397)</f>
        <v>472589.7</v>
      </c>
      <c r="D397" s="117">
        <f>SUM(E397)</f>
        <v>472589.7</v>
      </c>
      <c r="E397" s="117">
        <v>472589.7</v>
      </c>
      <c r="F397" s="117">
        <v>0</v>
      </c>
      <c r="G397" s="117">
        <v>0</v>
      </c>
      <c r="H397" s="117">
        <v>0</v>
      </c>
      <c r="I397" s="117">
        <v>0</v>
      </c>
      <c r="J397" s="117">
        <v>0</v>
      </c>
    </row>
    <row r="398" spans="1:10" ht="11.25" customHeight="1" x14ac:dyDescent="0.2">
      <c r="A398" s="116" t="s">
        <v>202</v>
      </c>
      <c r="B398" s="121" t="s">
        <v>139</v>
      </c>
      <c r="C398" s="120"/>
      <c r="D398" s="117"/>
      <c r="E398" s="117"/>
      <c r="F398" s="117"/>
      <c r="G398" s="117"/>
      <c r="H398" s="117"/>
      <c r="I398" s="117"/>
      <c r="J398" s="117"/>
    </row>
    <row r="399" spans="1:10" ht="11.25" customHeight="1" x14ac:dyDescent="0.2">
      <c r="A399" s="116"/>
      <c r="B399" s="121" t="s">
        <v>319</v>
      </c>
      <c r="C399" s="120"/>
      <c r="D399" s="117"/>
      <c r="E399" s="117"/>
      <c r="F399" s="117"/>
      <c r="G399" s="117"/>
      <c r="H399" s="117"/>
      <c r="I399" s="117"/>
      <c r="J399" s="117"/>
    </row>
    <row r="400" spans="1:10" ht="11.25" customHeight="1" x14ac:dyDescent="0.2">
      <c r="A400" s="116"/>
      <c r="B400" s="121" t="s">
        <v>320</v>
      </c>
      <c r="C400" s="120"/>
      <c r="D400" s="117"/>
      <c r="E400" s="117"/>
      <c r="F400" s="117"/>
      <c r="G400" s="117"/>
      <c r="H400" s="117"/>
      <c r="I400" s="117"/>
      <c r="J400" s="117"/>
    </row>
    <row r="401" spans="1:10" ht="11.25" customHeight="1" x14ac:dyDescent="0.2">
      <c r="A401" s="116"/>
      <c r="B401" s="121" t="s">
        <v>321</v>
      </c>
      <c r="C401" s="120"/>
      <c r="D401" s="117"/>
      <c r="E401" s="117"/>
      <c r="F401" s="117"/>
      <c r="G401" s="117"/>
      <c r="H401" s="117"/>
      <c r="I401" s="117"/>
      <c r="J401" s="117"/>
    </row>
    <row r="402" spans="1:10" ht="11.25" customHeight="1" x14ac:dyDescent="0.2">
      <c r="A402" s="116"/>
      <c r="B402" s="121" t="s">
        <v>322</v>
      </c>
      <c r="C402" s="120">
        <f>SUM(D402)</f>
        <v>55087.43</v>
      </c>
      <c r="D402" s="117">
        <f>E402</f>
        <v>55087.43</v>
      </c>
      <c r="E402" s="117">
        <v>55087.43</v>
      </c>
      <c r="F402" s="117">
        <v>0</v>
      </c>
      <c r="G402" s="117">
        <v>0</v>
      </c>
      <c r="H402" s="117">
        <v>0</v>
      </c>
      <c r="I402" s="117">
        <v>0</v>
      </c>
      <c r="J402" s="117">
        <v>0</v>
      </c>
    </row>
    <row r="403" spans="1:10" ht="11.25" customHeight="1" thickBot="1" x14ac:dyDescent="0.25">
      <c r="A403" s="122" t="s">
        <v>56</v>
      </c>
      <c r="B403" s="111" t="s">
        <v>57</v>
      </c>
      <c r="C403" s="112">
        <f t="shared" ref="C403:J403" si="59">SUM(C404)</f>
        <v>5190874.5599999996</v>
      </c>
      <c r="D403" s="112">
        <f t="shared" si="59"/>
        <v>5190874.5599999996</v>
      </c>
      <c r="E403" s="112">
        <f t="shared" si="59"/>
        <v>156484.56</v>
      </c>
      <c r="F403" s="112">
        <f t="shared" si="59"/>
        <v>0</v>
      </c>
      <c r="G403" s="112">
        <f t="shared" si="59"/>
        <v>0</v>
      </c>
      <c r="H403" s="112">
        <f t="shared" si="59"/>
        <v>0</v>
      </c>
      <c r="I403" s="112">
        <f t="shared" si="59"/>
        <v>0</v>
      </c>
      <c r="J403" s="112">
        <f t="shared" si="59"/>
        <v>0</v>
      </c>
    </row>
    <row r="404" spans="1:10" ht="11.25" customHeight="1" thickTop="1" x14ac:dyDescent="0.2">
      <c r="A404" s="125" t="s">
        <v>368</v>
      </c>
      <c r="B404" s="105" t="s">
        <v>96</v>
      </c>
      <c r="C404" s="127">
        <f t="shared" ref="C404:J404" si="60">SUM(C405:C421)</f>
        <v>5190874.5599999996</v>
      </c>
      <c r="D404" s="127">
        <f>SUM(D405:D421)</f>
        <v>5190874.5599999996</v>
      </c>
      <c r="E404" s="127">
        <f t="shared" si="60"/>
        <v>156484.56</v>
      </c>
      <c r="F404" s="127">
        <f t="shared" si="60"/>
        <v>0</v>
      </c>
      <c r="G404" s="127">
        <f t="shared" si="60"/>
        <v>0</v>
      </c>
      <c r="H404" s="127">
        <f t="shared" si="60"/>
        <v>0</v>
      </c>
      <c r="I404" s="127">
        <f t="shared" si="60"/>
        <v>0</v>
      </c>
      <c r="J404" s="127">
        <f t="shared" si="60"/>
        <v>0</v>
      </c>
    </row>
    <row r="405" spans="1:10" ht="11.25" customHeight="1" x14ac:dyDescent="0.2">
      <c r="A405" s="116" t="s">
        <v>99</v>
      </c>
      <c r="B405" s="121" t="s">
        <v>172</v>
      </c>
      <c r="C405" s="117"/>
      <c r="D405" s="117"/>
      <c r="E405" s="117"/>
      <c r="F405" s="117"/>
      <c r="G405" s="117"/>
      <c r="H405" s="117"/>
      <c r="I405" s="117"/>
      <c r="J405" s="117"/>
    </row>
    <row r="406" spans="1:10" ht="11.25" customHeight="1" x14ac:dyDescent="0.2">
      <c r="A406" s="143"/>
      <c r="B406" s="121" t="s">
        <v>173</v>
      </c>
      <c r="C406" s="117"/>
      <c r="D406" s="117"/>
      <c r="E406" s="117"/>
      <c r="F406" s="117"/>
      <c r="G406" s="117"/>
      <c r="H406" s="117"/>
      <c r="I406" s="117"/>
      <c r="J406" s="117"/>
    </row>
    <row r="407" spans="1:10" ht="11.25" customHeight="1" x14ac:dyDescent="0.2">
      <c r="A407" s="143"/>
      <c r="B407" s="121" t="s">
        <v>174</v>
      </c>
      <c r="C407" s="117"/>
      <c r="D407" s="117"/>
      <c r="E407" s="117"/>
      <c r="F407" s="117"/>
      <c r="G407" s="117"/>
      <c r="H407" s="117"/>
      <c r="I407" s="117"/>
      <c r="J407" s="117"/>
    </row>
    <row r="408" spans="1:10" ht="11.25" customHeight="1" x14ac:dyDescent="0.2">
      <c r="A408" s="143"/>
      <c r="B408" s="121" t="s">
        <v>175</v>
      </c>
      <c r="C408" s="120">
        <f>SUM(D408:F408)</f>
        <v>13583</v>
      </c>
      <c r="D408" s="117">
        <v>13583</v>
      </c>
      <c r="E408" s="117">
        <v>0</v>
      </c>
      <c r="F408" s="117">
        <v>0</v>
      </c>
      <c r="G408" s="117">
        <v>0</v>
      </c>
      <c r="H408" s="117">
        <v>0</v>
      </c>
      <c r="I408" s="117">
        <v>0</v>
      </c>
      <c r="J408" s="117">
        <v>0</v>
      </c>
    </row>
    <row r="409" spans="1:10" ht="10.5" customHeight="1" x14ac:dyDescent="0.2">
      <c r="A409" s="116" t="s">
        <v>113</v>
      </c>
      <c r="B409" s="121" t="s">
        <v>114</v>
      </c>
      <c r="C409" s="120">
        <f>SUM(D409,F409)</f>
        <v>5019070</v>
      </c>
      <c r="D409" s="117">
        <v>5019070</v>
      </c>
      <c r="E409" s="117">
        <v>0</v>
      </c>
      <c r="F409" s="117">
        <v>0</v>
      </c>
      <c r="G409" s="117">
        <v>0</v>
      </c>
      <c r="H409" s="117">
        <v>0</v>
      </c>
      <c r="I409" s="117">
        <v>0</v>
      </c>
      <c r="J409" s="117">
        <v>0</v>
      </c>
    </row>
    <row r="410" spans="1:10" ht="10.5" customHeight="1" x14ac:dyDescent="0.2">
      <c r="A410" s="116" t="s">
        <v>115</v>
      </c>
      <c r="B410" s="121" t="s">
        <v>116</v>
      </c>
      <c r="C410" s="120">
        <f>SUM(D410,F410)</f>
        <v>1637</v>
      </c>
      <c r="D410" s="117">
        <f>1500+137</f>
        <v>1637</v>
      </c>
      <c r="E410" s="117">
        <v>0</v>
      </c>
      <c r="F410" s="117">
        <v>0</v>
      </c>
      <c r="G410" s="117">
        <v>0</v>
      </c>
      <c r="H410" s="117">
        <v>0</v>
      </c>
      <c r="I410" s="117">
        <v>0</v>
      </c>
      <c r="J410" s="117">
        <v>0</v>
      </c>
    </row>
    <row r="411" spans="1:10" ht="10.5" customHeight="1" x14ac:dyDescent="0.2">
      <c r="A411" s="116" t="s">
        <v>121</v>
      </c>
      <c r="B411" s="121" t="s">
        <v>122</v>
      </c>
      <c r="C411" s="120">
        <f>SUM(D411:F411)</f>
        <v>100</v>
      </c>
      <c r="D411" s="117">
        <v>100</v>
      </c>
      <c r="E411" s="117">
        <v>0</v>
      </c>
      <c r="F411" s="117">
        <v>0</v>
      </c>
      <c r="G411" s="117">
        <v>0</v>
      </c>
      <c r="H411" s="117">
        <v>0</v>
      </c>
      <c r="I411" s="117">
        <v>0</v>
      </c>
      <c r="J411" s="117">
        <v>0</v>
      </c>
    </row>
    <row r="412" spans="1:10" ht="11.25" customHeight="1" x14ac:dyDescent="0.2">
      <c r="A412" s="116" t="s">
        <v>200</v>
      </c>
      <c r="B412" s="121" t="s">
        <v>139</v>
      </c>
      <c r="C412" s="120"/>
      <c r="D412" s="117"/>
      <c r="E412" s="117"/>
      <c r="F412" s="117"/>
      <c r="G412" s="117"/>
      <c r="H412" s="117"/>
      <c r="I412" s="117"/>
      <c r="J412" s="117"/>
    </row>
    <row r="413" spans="1:10" ht="11.25" customHeight="1" x14ac:dyDescent="0.2">
      <c r="A413" s="116"/>
      <c r="B413" s="121" t="s">
        <v>319</v>
      </c>
      <c r="C413" s="120"/>
      <c r="D413" s="117"/>
      <c r="E413" s="117"/>
      <c r="F413" s="117"/>
      <c r="G413" s="117"/>
      <c r="H413" s="117"/>
      <c r="I413" s="117"/>
      <c r="J413" s="117"/>
    </row>
    <row r="414" spans="1:10" ht="11.25" customHeight="1" x14ac:dyDescent="0.2">
      <c r="A414" s="116"/>
      <c r="B414" s="121" t="s">
        <v>320</v>
      </c>
      <c r="C414" s="120"/>
      <c r="D414" s="117"/>
      <c r="E414" s="117"/>
      <c r="F414" s="117"/>
      <c r="G414" s="117"/>
      <c r="H414" s="117"/>
      <c r="I414" s="117"/>
      <c r="J414" s="117"/>
    </row>
    <row r="415" spans="1:10" ht="11.25" customHeight="1" x14ac:dyDescent="0.2">
      <c r="A415" s="116"/>
      <c r="B415" s="121" t="s">
        <v>321</v>
      </c>
      <c r="C415" s="120"/>
      <c r="D415" s="117"/>
      <c r="E415" s="117"/>
      <c r="F415" s="117"/>
      <c r="G415" s="117"/>
      <c r="H415" s="117"/>
      <c r="I415" s="117"/>
      <c r="J415" s="117"/>
    </row>
    <row r="416" spans="1:10" ht="11.25" customHeight="1" x14ac:dyDescent="0.2">
      <c r="A416" s="116"/>
      <c r="B416" s="121" t="s">
        <v>322</v>
      </c>
      <c r="C416" s="120">
        <f>SUM(D416,F416)</f>
        <v>140012.5</v>
      </c>
      <c r="D416" s="117">
        <f>SUM(E416)</f>
        <v>140012.5</v>
      </c>
      <c r="E416" s="117">
        <v>140012.5</v>
      </c>
      <c r="F416" s="117">
        <v>0</v>
      </c>
      <c r="G416" s="117">
        <v>0</v>
      </c>
      <c r="H416" s="117">
        <v>0</v>
      </c>
      <c r="I416" s="117">
        <v>0</v>
      </c>
      <c r="J416" s="117">
        <v>0</v>
      </c>
    </row>
    <row r="417" spans="1:10" ht="11.25" customHeight="1" x14ac:dyDescent="0.2">
      <c r="A417" s="116" t="s">
        <v>202</v>
      </c>
      <c r="B417" s="121" t="s">
        <v>139</v>
      </c>
      <c r="C417" s="120"/>
      <c r="D417" s="117"/>
      <c r="E417" s="117"/>
      <c r="F417" s="117"/>
      <c r="G417" s="117"/>
      <c r="H417" s="117"/>
      <c r="I417" s="117"/>
      <c r="J417" s="117"/>
    </row>
    <row r="418" spans="1:10" ht="10.5" customHeight="1" x14ac:dyDescent="0.2">
      <c r="A418" s="116"/>
      <c r="B418" s="121" t="s">
        <v>319</v>
      </c>
      <c r="C418" s="120"/>
      <c r="D418" s="117"/>
      <c r="E418" s="117"/>
      <c r="F418" s="117"/>
      <c r="G418" s="117"/>
      <c r="H418" s="117"/>
      <c r="I418" s="117"/>
      <c r="J418" s="117"/>
    </row>
    <row r="419" spans="1:10" ht="10.5" customHeight="1" x14ac:dyDescent="0.2">
      <c r="A419" s="116"/>
      <c r="B419" s="121" t="s">
        <v>320</v>
      </c>
      <c r="C419" s="120"/>
      <c r="D419" s="117"/>
      <c r="E419" s="117"/>
      <c r="F419" s="117"/>
      <c r="G419" s="117"/>
      <c r="H419" s="117"/>
      <c r="I419" s="117"/>
      <c r="J419" s="117"/>
    </row>
    <row r="420" spans="1:10" ht="9.75" customHeight="1" x14ac:dyDescent="0.2">
      <c r="A420" s="116"/>
      <c r="B420" s="121" t="s">
        <v>321</v>
      </c>
      <c r="C420" s="120"/>
      <c r="D420" s="117"/>
      <c r="E420" s="117"/>
      <c r="F420" s="117"/>
      <c r="G420" s="117"/>
      <c r="H420" s="117"/>
      <c r="I420" s="117"/>
      <c r="J420" s="117"/>
    </row>
    <row r="421" spans="1:10" ht="11.25" customHeight="1" x14ac:dyDescent="0.2">
      <c r="A421" s="146"/>
      <c r="B421" s="105" t="s">
        <v>322</v>
      </c>
      <c r="C421" s="127">
        <f>SUM(D421)</f>
        <v>16472.060000000001</v>
      </c>
      <c r="D421" s="147">
        <f>E421</f>
        <v>16472.060000000001</v>
      </c>
      <c r="E421" s="147">
        <v>16472.060000000001</v>
      </c>
      <c r="F421" s="147">
        <v>0</v>
      </c>
      <c r="G421" s="147">
        <v>0</v>
      </c>
      <c r="H421" s="147">
        <v>0</v>
      </c>
      <c r="I421" s="147">
        <v>0</v>
      </c>
      <c r="J421" s="147">
        <v>0</v>
      </c>
    </row>
    <row r="422" spans="1:10" ht="11.25" customHeight="1" thickBot="1" x14ac:dyDescent="0.25">
      <c r="A422" s="122" t="s">
        <v>60</v>
      </c>
      <c r="B422" s="175" t="s">
        <v>61</v>
      </c>
      <c r="C422" s="112">
        <f>SUM(C423,C428,C436,C453,C442)</f>
        <v>7090466</v>
      </c>
      <c r="D422" s="112">
        <f t="shared" ref="D422:J422" si="61">SUM(D423,D428,D436,D453,D442)</f>
        <v>7090466</v>
      </c>
      <c r="E422" s="112">
        <f t="shared" si="61"/>
        <v>387068</v>
      </c>
      <c r="F422" s="112">
        <f t="shared" si="61"/>
        <v>0</v>
      </c>
      <c r="G422" s="112">
        <f t="shared" si="61"/>
        <v>0</v>
      </c>
      <c r="H422" s="112">
        <f t="shared" si="61"/>
        <v>0</v>
      </c>
      <c r="I422" s="112">
        <f t="shared" si="61"/>
        <v>0</v>
      </c>
      <c r="J422" s="112">
        <f t="shared" si="61"/>
        <v>0</v>
      </c>
    </row>
    <row r="423" spans="1:10" ht="11.25" customHeight="1" thickTop="1" x14ac:dyDescent="0.2">
      <c r="A423" s="125" t="s">
        <v>369</v>
      </c>
      <c r="B423" s="105" t="s">
        <v>370</v>
      </c>
      <c r="C423" s="147">
        <f t="shared" ref="C423:J423" si="62">SUM(C424,C425)</f>
        <v>88200</v>
      </c>
      <c r="D423" s="147">
        <f t="shared" si="62"/>
        <v>88200</v>
      </c>
      <c r="E423" s="147">
        <f t="shared" si="62"/>
        <v>0</v>
      </c>
      <c r="F423" s="147">
        <f t="shared" si="62"/>
        <v>0</v>
      </c>
      <c r="G423" s="147">
        <f t="shared" si="62"/>
        <v>0</v>
      </c>
      <c r="H423" s="147">
        <f t="shared" si="62"/>
        <v>0</v>
      </c>
      <c r="I423" s="147">
        <f t="shared" si="62"/>
        <v>0</v>
      </c>
      <c r="J423" s="147">
        <f t="shared" si="62"/>
        <v>0</v>
      </c>
    </row>
    <row r="424" spans="1:10" ht="11.25" customHeight="1" x14ac:dyDescent="0.2">
      <c r="A424" s="116" t="s">
        <v>115</v>
      </c>
      <c r="B424" s="121" t="s">
        <v>116</v>
      </c>
      <c r="C424" s="120">
        <f>SUM(D424,F424)</f>
        <v>28750</v>
      </c>
      <c r="D424" s="117">
        <v>28750</v>
      </c>
      <c r="E424" s="117">
        <v>0</v>
      </c>
      <c r="F424" s="117">
        <v>0</v>
      </c>
      <c r="G424" s="117">
        <v>0</v>
      </c>
      <c r="H424" s="117">
        <v>0</v>
      </c>
      <c r="I424" s="117">
        <v>0</v>
      </c>
      <c r="J424" s="117">
        <v>0</v>
      </c>
    </row>
    <row r="425" spans="1:10" ht="11.25" customHeight="1" x14ac:dyDescent="0.2">
      <c r="A425" s="116" t="s">
        <v>117</v>
      </c>
      <c r="B425" s="121" t="s">
        <v>118</v>
      </c>
      <c r="C425" s="120">
        <f>SUM(D425,F425)</f>
        <v>59450</v>
      </c>
      <c r="D425" s="117">
        <v>59450</v>
      </c>
      <c r="E425" s="117">
        <v>0</v>
      </c>
      <c r="F425" s="117">
        <v>0</v>
      </c>
      <c r="G425" s="117">
        <v>0</v>
      </c>
      <c r="H425" s="117">
        <v>0</v>
      </c>
      <c r="I425" s="117">
        <v>0</v>
      </c>
      <c r="J425" s="117">
        <v>0</v>
      </c>
    </row>
    <row r="426" spans="1:10" ht="11.25" customHeight="1" x14ac:dyDescent="0.2">
      <c r="A426" s="133" t="s">
        <v>371</v>
      </c>
      <c r="B426" s="121" t="s">
        <v>372</v>
      </c>
      <c r="C426" s="120"/>
      <c r="D426" s="117"/>
      <c r="E426" s="117"/>
      <c r="F426" s="117"/>
      <c r="G426" s="117"/>
      <c r="H426" s="117"/>
      <c r="I426" s="117"/>
      <c r="J426" s="117"/>
    </row>
    <row r="427" spans="1:10" ht="11.25" customHeight="1" x14ac:dyDescent="0.2">
      <c r="A427" s="133"/>
      <c r="B427" s="121" t="s">
        <v>373</v>
      </c>
      <c r="C427" s="120"/>
      <c r="D427" s="117"/>
      <c r="E427" s="117"/>
      <c r="F427" s="117"/>
      <c r="G427" s="117"/>
      <c r="H427" s="117"/>
      <c r="I427" s="117"/>
      <c r="J427" s="117"/>
    </row>
    <row r="428" spans="1:10" ht="11.25" customHeight="1" x14ac:dyDescent="0.2">
      <c r="A428" s="125"/>
      <c r="B428" s="105" t="s">
        <v>374</v>
      </c>
      <c r="C428" s="127">
        <f t="shared" ref="C428:J428" si="63">SUM(C430:C435)</f>
        <v>710413</v>
      </c>
      <c r="D428" s="127">
        <f t="shared" si="63"/>
        <v>710413</v>
      </c>
      <c r="E428" s="127">
        <f t="shared" si="63"/>
        <v>0</v>
      </c>
      <c r="F428" s="127">
        <f t="shared" si="63"/>
        <v>0</v>
      </c>
      <c r="G428" s="127">
        <f t="shared" si="63"/>
        <v>0</v>
      </c>
      <c r="H428" s="127">
        <f t="shared" si="63"/>
        <v>0</v>
      </c>
      <c r="I428" s="127">
        <f t="shared" si="63"/>
        <v>0</v>
      </c>
      <c r="J428" s="127">
        <f t="shared" si="63"/>
        <v>0</v>
      </c>
    </row>
    <row r="429" spans="1:10" ht="11.25" customHeight="1" x14ac:dyDescent="0.2">
      <c r="A429" s="116" t="s">
        <v>152</v>
      </c>
      <c r="B429" s="121" t="s">
        <v>375</v>
      </c>
      <c r="C429" s="120"/>
      <c r="D429" s="117"/>
      <c r="E429" s="117"/>
      <c r="F429" s="117"/>
      <c r="G429" s="117"/>
      <c r="H429" s="117"/>
      <c r="I429" s="117"/>
      <c r="J429" s="117"/>
    </row>
    <row r="430" spans="1:10" ht="11.25" customHeight="1" x14ac:dyDescent="0.2">
      <c r="A430" s="138"/>
      <c r="B430" s="121" t="s">
        <v>376</v>
      </c>
      <c r="C430" s="120">
        <f>SUM(D430:F430)</f>
        <v>160</v>
      </c>
      <c r="D430" s="117">
        <v>160</v>
      </c>
      <c r="E430" s="117">
        <v>0</v>
      </c>
      <c r="F430" s="117">
        <v>0</v>
      </c>
      <c r="G430" s="117">
        <v>0</v>
      </c>
      <c r="H430" s="117">
        <v>0</v>
      </c>
      <c r="I430" s="117">
        <v>0</v>
      </c>
      <c r="J430" s="117">
        <v>0</v>
      </c>
    </row>
    <row r="431" spans="1:10" ht="11.25" customHeight="1" x14ac:dyDescent="0.2">
      <c r="A431" s="116" t="s">
        <v>115</v>
      </c>
      <c r="B431" s="121" t="s">
        <v>116</v>
      </c>
      <c r="C431" s="120">
        <f>SUM(D431,F431)</f>
        <v>27600</v>
      </c>
      <c r="D431" s="117">
        <v>27600</v>
      </c>
      <c r="E431" s="117">
        <v>0</v>
      </c>
      <c r="F431" s="117">
        <v>0</v>
      </c>
      <c r="G431" s="117">
        <v>0</v>
      </c>
      <c r="H431" s="117">
        <v>0</v>
      </c>
      <c r="I431" s="117">
        <v>0</v>
      </c>
      <c r="J431" s="117">
        <v>0</v>
      </c>
    </row>
    <row r="432" spans="1:10" ht="11.25" customHeight="1" x14ac:dyDescent="0.2">
      <c r="A432" s="116" t="s">
        <v>117</v>
      </c>
      <c r="B432" s="121" t="s">
        <v>118</v>
      </c>
      <c r="C432" s="120">
        <f>SUM(D432,F432)</f>
        <v>251300</v>
      </c>
      <c r="D432" s="117">
        <v>251300</v>
      </c>
      <c r="E432" s="117">
        <v>0</v>
      </c>
      <c r="F432" s="117">
        <v>0</v>
      </c>
      <c r="G432" s="117">
        <v>0</v>
      </c>
      <c r="H432" s="117">
        <v>0</v>
      </c>
      <c r="I432" s="117">
        <v>0</v>
      </c>
      <c r="J432" s="117">
        <v>0</v>
      </c>
    </row>
    <row r="433" spans="1:10" ht="11.25" customHeight="1" x14ac:dyDescent="0.2">
      <c r="A433" s="116" t="s">
        <v>190</v>
      </c>
      <c r="B433" s="121" t="s">
        <v>377</v>
      </c>
      <c r="C433" s="120"/>
      <c r="D433" s="120"/>
      <c r="E433" s="120"/>
      <c r="F433" s="120"/>
      <c r="G433" s="120"/>
      <c r="H433" s="120"/>
      <c r="I433" s="120"/>
      <c r="J433" s="120"/>
    </row>
    <row r="434" spans="1:10" ht="11.25" customHeight="1" x14ac:dyDescent="0.2">
      <c r="A434" s="133"/>
      <c r="B434" s="121" t="s">
        <v>378</v>
      </c>
      <c r="C434" s="120"/>
      <c r="D434" s="120"/>
      <c r="E434" s="120"/>
      <c r="F434" s="120"/>
      <c r="G434" s="120"/>
      <c r="H434" s="120"/>
      <c r="I434" s="120"/>
      <c r="J434" s="120"/>
    </row>
    <row r="435" spans="1:10" ht="11.25" customHeight="1" x14ac:dyDescent="0.2">
      <c r="A435" s="116"/>
      <c r="B435" s="121" t="s">
        <v>379</v>
      </c>
      <c r="C435" s="120">
        <f>SUM(D435:F435)</f>
        <v>431353</v>
      </c>
      <c r="D435" s="117">
        <v>431353</v>
      </c>
      <c r="E435" s="117">
        <v>0</v>
      </c>
      <c r="F435" s="117">
        <v>0</v>
      </c>
      <c r="G435" s="117">
        <v>0</v>
      </c>
      <c r="H435" s="117">
        <v>0</v>
      </c>
      <c r="I435" s="117">
        <v>0</v>
      </c>
      <c r="J435" s="117">
        <v>0</v>
      </c>
    </row>
    <row r="436" spans="1:10" ht="11.25" customHeight="1" x14ac:dyDescent="0.2">
      <c r="A436" s="146" t="s">
        <v>380</v>
      </c>
      <c r="B436" s="105" t="s">
        <v>381</v>
      </c>
      <c r="C436" s="127">
        <f t="shared" ref="C436:J436" si="64">SUM(C437:C441)</f>
        <v>423140</v>
      </c>
      <c r="D436" s="127">
        <f t="shared" si="64"/>
        <v>423140</v>
      </c>
      <c r="E436" s="127">
        <f t="shared" si="64"/>
        <v>0</v>
      </c>
      <c r="F436" s="127">
        <f t="shared" si="64"/>
        <v>0</v>
      </c>
      <c r="G436" s="127">
        <f t="shared" si="64"/>
        <v>0</v>
      </c>
      <c r="H436" s="127">
        <f t="shared" si="64"/>
        <v>0</v>
      </c>
      <c r="I436" s="127">
        <f t="shared" si="64"/>
        <v>0</v>
      </c>
      <c r="J436" s="127">
        <f t="shared" si="64"/>
        <v>0</v>
      </c>
    </row>
    <row r="437" spans="1:10" ht="11.25" customHeight="1" x14ac:dyDescent="0.2">
      <c r="A437" s="116" t="s">
        <v>115</v>
      </c>
      <c r="B437" s="121" t="s">
        <v>116</v>
      </c>
      <c r="C437" s="120">
        <f>SUM(D437+F437)</f>
        <v>150</v>
      </c>
      <c r="D437" s="117">
        <v>150</v>
      </c>
      <c r="E437" s="117">
        <v>0</v>
      </c>
      <c r="F437" s="117">
        <v>0</v>
      </c>
      <c r="G437" s="117">
        <v>0</v>
      </c>
      <c r="H437" s="117">
        <v>0</v>
      </c>
      <c r="I437" s="117">
        <v>0</v>
      </c>
      <c r="J437" s="117">
        <v>0</v>
      </c>
    </row>
    <row r="438" spans="1:10" ht="11.25" customHeight="1" x14ac:dyDescent="0.2">
      <c r="A438" s="116" t="s">
        <v>117</v>
      </c>
      <c r="B438" s="121" t="s">
        <v>118</v>
      </c>
      <c r="C438" s="120">
        <f>SUM(D438+F438)</f>
        <v>300</v>
      </c>
      <c r="D438" s="117">
        <v>300</v>
      </c>
      <c r="E438" s="117">
        <v>0</v>
      </c>
      <c r="F438" s="117">
        <v>0</v>
      </c>
      <c r="G438" s="117">
        <v>0</v>
      </c>
      <c r="H438" s="117">
        <v>0</v>
      </c>
      <c r="I438" s="117">
        <v>0</v>
      </c>
      <c r="J438" s="117">
        <v>0</v>
      </c>
    </row>
    <row r="439" spans="1:10" ht="11.25" customHeight="1" x14ac:dyDescent="0.2">
      <c r="A439" s="116" t="s">
        <v>340</v>
      </c>
      <c r="B439" s="121" t="s">
        <v>341</v>
      </c>
      <c r="C439" s="120"/>
      <c r="D439" s="117"/>
      <c r="E439" s="117"/>
      <c r="F439" s="117"/>
      <c r="G439" s="117"/>
      <c r="H439" s="117"/>
      <c r="I439" s="117"/>
      <c r="J439" s="117"/>
    </row>
    <row r="440" spans="1:10" ht="11.25" customHeight="1" x14ac:dyDescent="0.2">
      <c r="A440" s="116"/>
      <c r="B440" s="121" t="s">
        <v>342</v>
      </c>
      <c r="C440" s="120"/>
      <c r="D440" s="117"/>
      <c r="E440" s="117"/>
      <c r="F440" s="117"/>
      <c r="G440" s="117"/>
      <c r="H440" s="117"/>
      <c r="I440" s="117"/>
      <c r="J440" s="117"/>
    </row>
    <row r="441" spans="1:10" ht="11.25" customHeight="1" x14ac:dyDescent="0.2">
      <c r="A441" s="116"/>
      <c r="B441" s="121" t="s">
        <v>343</v>
      </c>
      <c r="C441" s="120">
        <f>SUM(D441)</f>
        <v>422690</v>
      </c>
      <c r="D441" s="117">
        <v>422690</v>
      </c>
      <c r="E441" s="117">
        <v>0</v>
      </c>
      <c r="F441" s="117">
        <v>0</v>
      </c>
      <c r="G441" s="117">
        <v>0</v>
      </c>
      <c r="H441" s="117">
        <v>0</v>
      </c>
      <c r="I441" s="117">
        <v>0</v>
      </c>
      <c r="J441" s="117">
        <v>0</v>
      </c>
    </row>
    <row r="442" spans="1:10" ht="11.25" customHeight="1" x14ac:dyDescent="0.2">
      <c r="A442" s="146" t="s">
        <v>382</v>
      </c>
      <c r="B442" s="126" t="s">
        <v>383</v>
      </c>
      <c r="C442" s="127">
        <f t="shared" ref="C442:J442" si="65">SUM(C443:C452)</f>
        <v>5481185</v>
      </c>
      <c r="D442" s="127">
        <f t="shared" si="65"/>
        <v>5481185</v>
      </c>
      <c r="E442" s="127">
        <f t="shared" si="65"/>
        <v>0</v>
      </c>
      <c r="F442" s="127">
        <f t="shared" si="65"/>
        <v>0</v>
      </c>
      <c r="G442" s="127">
        <f t="shared" si="65"/>
        <v>0</v>
      </c>
      <c r="H442" s="127">
        <f t="shared" si="65"/>
        <v>0</v>
      </c>
      <c r="I442" s="127">
        <f t="shared" si="65"/>
        <v>0</v>
      </c>
      <c r="J442" s="127">
        <f t="shared" si="65"/>
        <v>0</v>
      </c>
    </row>
    <row r="443" spans="1:10" ht="11.25" customHeight="1" x14ac:dyDescent="0.2">
      <c r="A443" s="116" t="s">
        <v>99</v>
      </c>
      <c r="B443" s="121" t="s">
        <v>172</v>
      </c>
      <c r="C443" s="120"/>
      <c r="D443" s="117"/>
      <c r="E443" s="117"/>
      <c r="F443" s="117"/>
      <c r="G443" s="117"/>
      <c r="H443" s="117"/>
      <c r="I443" s="117"/>
      <c r="J443" s="117"/>
    </row>
    <row r="444" spans="1:10" ht="11.25" customHeight="1" x14ac:dyDescent="0.2">
      <c r="A444" s="116"/>
      <c r="B444" s="121" t="s">
        <v>173</v>
      </c>
      <c r="C444" s="120"/>
      <c r="D444" s="117"/>
      <c r="E444" s="117"/>
      <c r="F444" s="117"/>
      <c r="G444" s="117"/>
      <c r="H444" s="117"/>
      <c r="I444" s="117"/>
      <c r="J444" s="117"/>
    </row>
    <row r="445" spans="1:10" ht="12" customHeight="1" x14ac:dyDescent="0.2">
      <c r="A445" s="116"/>
      <c r="B445" s="121" t="s">
        <v>174</v>
      </c>
      <c r="C445" s="120"/>
      <c r="D445" s="117"/>
      <c r="E445" s="117"/>
      <c r="F445" s="117"/>
      <c r="G445" s="117"/>
      <c r="H445" s="117"/>
      <c r="I445" s="117"/>
      <c r="J445" s="117"/>
    </row>
    <row r="446" spans="1:10" ht="10.5" customHeight="1" x14ac:dyDescent="0.2">
      <c r="A446" s="116"/>
      <c r="B446" s="121" t="s">
        <v>175</v>
      </c>
      <c r="C446" s="120">
        <f>SUM(D446)</f>
        <v>76874</v>
      </c>
      <c r="D446" s="117">
        <v>76874</v>
      </c>
      <c r="E446" s="176">
        <v>0</v>
      </c>
      <c r="F446" s="117">
        <v>0</v>
      </c>
      <c r="G446" s="176">
        <v>0</v>
      </c>
      <c r="H446" s="117">
        <v>0</v>
      </c>
      <c r="I446" s="117">
        <v>0</v>
      </c>
      <c r="J446" s="176">
        <v>0</v>
      </c>
    </row>
    <row r="447" spans="1:10" ht="11.25" customHeight="1" x14ac:dyDescent="0.2">
      <c r="A447" s="116" t="s">
        <v>113</v>
      </c>
      <c r="B447" s="121" t="s">
        <v>114</v>
      </c>
      <c r="C447" s="120">
        <f>SUM(D447)</f>
        <v>359202</v>
      </c>
      <c r="D447" s="117">
        <v>359202</v>
      </c>
      <c r="E447" s="176">
        <v>0</v>
      </c>
      <c r="F447" s="117">
        <v>0</v>
      </c>
      <c r="G447" s="176">
        <v>0</v>
      </c>
      <c r="H447" s="117">
        <v>0</v>
      </c>
      <c r="I447" s="117">
        <v>0</v>
      </c>
      <c r="J447" s="176">
        <v>0</v>
      </c>
    </row>
    <row r="448" spans="1:10" ht="11.25" customHeight="1" x14ac:dyDescent="0.2">
      <c r="A448" s="116" t="s">
        <v>115</v>
      </c>
      <c r="B448" s="121" t="s">
        <v>116</v>
      </c>
      <c r="C448" s="120">
        <f>SUM(D448)</f>
        <v>2500</v>
      </c>
      <c r="D448" s="117">
        <v>2500</v>
      </c>
      <c r="E448" s="176">
        <v>0</v>
      </c>
      <c r="F448" s="117">
        <v>0</v>
      </c>
      <c r="G448" s="176">
        <v>0</v>
      </c>
      <c r="H448" s="117">
        <v>0</v>
      </c>
      <c r="I448" s="117">
        <v>0</v>
      </c>
      <c r="J448" s="117">
        <v>0</v>
      </c>
    </row>
    <row r="449" spans="1:10" ht="11.25" customHeight="1" x14ac:dyDescent="0.2">
      <c r="A449" s="116" t="s">
        <v>121</v>
      </c>
      <c r="B449" s="128" t="s">
        <v>122</v>
      </c>
      <c r="C449" s="120">
        <f>SUM(D449)</f>
        <v>3910500</v>
      </c>
      <c r="D449" s="117">
        <v>3910500</v>
      </c>
      <c r="E449" s="176">
        <v>0</v>
      </c>
      <c r="F449" s="117">
        <v>0</v>
      </c>
      <c r="G449" s="176">
        <v>0</v>
      </c>
      <c r="H449" s="117">
        <v>0</v>
      </c>
      <c r="I449" s="117">
        <v>0</v>
      </c>
      <c r="J449" s="117">
        <v>0</v>
      </c>
    </row>
    <row r="450" spans="1:10" ht="11.25" customHeight="1" x14ac:dyDescent="0.2">
      <c r="A450" s="116" t="s">
        <v>340</v>
      </c>
      <c r="B450" s="121" t="s">
        <v>341</v>
      </c>
      <c r="C450" s="120"/>
      <c r="D450" s="117"/>
      <c r="E450" s="117"/>
      <c r="F450" s="117"/>
      <c r="G450" s="117"/>
      <c r="H450" s="117"/>
      <c r="I450" s="117"/>
      <c r="J450" s="117"/>
    </row>
    <row r="451" spans="1:10" ht="11.25" customHeight="1" x14ac:dyDescent="0.2">
      <c r="A451" s="116"/>
      <c r="B451" s="121" t="s">
        <v>342</v>
      </c>
      <c r="C451" s="120"/>
      <c r="D451" s="117"/>
      <c r="E451" s="117"/>
      <c r="F451" s="117"/>
      <c r="G451" s="117"/>
      <c r="H451" s="117"/>
      <c r="I451" s="117"/>
      <c r="J451" s="117"/>
    </row>
    <row r="452" spans="1:10" ht="11.25" customHeight="1" x14ac:dyDescent="0.2">
      <c r="A452" s="116"/>
      <c r="B452" s="121" t="s">
        <v>343</v>
      </c>
      <c r="C452" s="120">
        <f>SUM(D452)</f>
        <v>1132109</v>
      </c>
      <c r="D452" s="120">
        <v>1132109</v>
      </c>
      <c r="E452" s="120">
        <v>0</v>
      </c>
      <c r="F452" s="120">
        <v>0</v>
      </c>
      <c r="G452" s="120">
        <v>0</v>
      </c>
      <c r="H452" s="120">
        <v>0</v>
      </c>
      <c r="I452" s="120">
        <v>0</v>
      </c>
      <c r="J452" s="120">
        <v>0</v>
      </c>
    </row>
    <row r="453" spans="1:10" ht="11.25" customHeight="1" x14ac:dyDescent="0.2">
      <c r="A453" s="125" t="s">
        <v>384</v>
      </c>
      <c r="B453" s="105" t="s">
        <v>96</v>
      </c>
      <c r="C453" s="147">
        <f t="shared" ref="C453:J453" si="66">SUM(C454:C465)</f>
        <v>387528</v>
      </c>
      <c r="D453" s="147">
        <f t="shared" si="66"/>
        <v>387528</v>
      </c>
      <c r="E453" s="147">
        <f t="shared" si="66"/>
        <v>387068</v>
      </c>
      <c r="F453" s="147">
        <f t="shared" si="66"/>
        <v>0</v>
      </c>
      <c r="G453" s="147">
        <f t="shared" si="66"/>
        <v>0</v>
      </c>
      <c r="H453" s="147">
        <f t="shared" si="66"/>
        <v>0</v>
      </c>
      <c r="I453" s="147">
        <f t="shared" si="66"/>
        <v>0</v>
      </c>
      <c r="J453" s="147">
        <f t="shared" si="66"/>
        <v>0</v>
      </c>
    </row>
    <row r="454" spans="1:10" ht="11.25" customHeight="1" x14ac:dyDescent="0.2">
      <c r="A454" s="116" t="s">
        <v>115</v>
      </c>
      <c r="B454" s="121" t="s">
        <v>116</v>
      </c>
      <c r="C454" s="120">
        <f>SUM(D454)</f>
        <v>28</v>
      </c>
      <c r="D454" s="117">
        <v>28</v>
      </c>
      <c r="E454" s="117">
        <v>0</v>
      </c>
      <c r="F454" s="117">
        <v>0</v>
      </c>
      <c r="G454" s="117">
        <v>0</v>
      </c>
      <c r="H454" s="117">
        <v>0</v>
      </c>
      <c r="I454" s="117">
        <v>0</v>
      </c>
      <c r="J454" s="117">
        <v>0</v>
      </c>
    </row>
    <row r="455" spans="1:10" ht="11.25" customHeight="1" x14ac:dyDescent="0.2">
      <c r="A455" s="116" t="s">
        <v>117</v>
      </c>
      <c r="B455" s="138" t="s">
        <v>118</v>
      </c>
      <c r="C455" s="120">
        <f>SUM(D455)</f>
        <v>432</v>
      </c>
      <c r="D455" s="117">
        <v>432</v>
      </c>
      <c r="E455" s="117">
        <v>0</v>
      </c>
      <c r="F455" s="117">
        <v>0</v>
      </c>
      <c r="G455" s="117">
        <v>0</v>
      </c>
      <c r="H455" s="117">
        <v>0</v>
      </c>
      <c r="I455" s="117">
        <v>0</v>
      </c>
      <c r="J455" s="117">
        <v>0</v>
      </c>
    </row>
    <row r="456" spans="1:10" ht="11.25" customHeight="1" x14ac:dyDescent="0.2">
      <c r="A456" s="116" t="s">
        <v>200</v>
      </c>
      <c r="B456" s="128" t="s">
        <v>385</v>
      </c>
      <c r="C456" s="120"/>
      <c r="D456" s="117"/>
      <c r="E456" s="117"/>
      <c r="F456" s="117"/>
      <c r="G456" s="117"/>
      <c r="H456" s="117"/>
      <c r="I456" s="117"/>
      <c r="J456" s="117"/>
    </row>
    <row r="457" spans="1:10" ht="11.25" customHeight="1" x14ac:dyDescent="0.2">
      <c r="A457" s="116"/>
      <c r="B457" s="128" t="s">
        <v>386</v>
      </c>
      <c r="C457" s="120"/>
      <c r="D457" s="117"/>
      <c r="E457" s="117"/>
      <c r="F457" s="117"/>
      <c r="G457" s="117"/>
      <c r="H457" s="117"/>
      <c r="I457" s="117"/>
      <c r="J457" s="117"/>
    </row>
    <row r="458" spans="1:10" ht="11.25" customHeight="1" x14ac:dyDescent="0.2">
      <c r="A458" s="116"/>
      <c r="B458" s="128" t="s">
        <v>387</v>
      </c>
      <c r="C458" s="120"/>
      <c r="D458" s="117"/>
      <c r="E458" s="117"/>
      <c r="F458" s="117"/>
      <c r="G458" s="117"/>
      <c r="H458" s="117"/>
      <c r="I458" s="117"/>
      <c r="J458" s="117"/>
    </row>
    <row r="459" spans="1:10" ht="11.25" customHeight="1" x14ac:dyDescent="0.2">
      <c r="A459" s="116"/>
      <c r="B459" s="128" t="s">
        <v>388</v>
      </c>
      <c r="C459" s="120"/>
      <c r="D459" s="117"/>
      <c r="E459" s="117"/>
      <c r="F459" s="117"/>
      <c r="G459" s="117"/>
      <c r="H459" s="117"/>
      <c r="I459" s="117"/>
      <c r="J459" s="117"/>
    </row>
    <row r="460" spans="1:10" ht="11.25" customHeight="1" x14ac:dyDescent="0.2">
      <c r="A460" s="116"/>
      <c r="B460" s="128" t="s">
        <v>389</v>
      </c>
      <c r="C460" s="120">
        <f>SUM(D460+F460)</f>
        <v>346324</v>
      </c>
      <c r="D460" s="117">
        <f>SUM(E460)</f>
        <v>346324</v>
      </c>
      <c r="E460" s="117">
        <v>346324</v>
      </c>
      <c r="F460" s="117">
        <v>0</v>
      </c>
      <c r="G460" s="117">
        <v>0</v>
      </c>
      <c r="H460" s="117">
        <v>0</v>
      </c>
      <c r="I460" s="117">
        <v>0</v>
      </c>
      <c r="J460" s="117">
        <v>0</v>
      </c>
    </row>
    <row r="461" spans="1:10" ht="11.25" customHeight="1" x14ac:dyDescent="0.2">
      <c r="A461" s="116" t="s">
        <v>202</v>
      </c>
      <c r="B461" s="128" t="s">
        <v>385</v>
      </c>
      <c r="C461" s="120"/>
      <c r="D461" s="117"/>
      <c r="E461" s="117"/>
      <c r="F461" s="117"/>
      <c r="G461" s="117"/>
      <c r="H461" s="117"/>
      <c r="I461" s="117"/>
      <c r="J461" s="117"/>
    </row>
    <row r="462" spans="1:10" ht="11.25" customHeight="1" x14ac:dyDescent="0.2">
      <c r="A462" s="116"/>
      <c r="B462" s="128" t="s">
        <v>386</v>
      </c>
      <c r="C462" s="120"/>
      <c r="D462" s="117"/>
      <c r="E462" s="117"/>
      <c r="F462" s="117"/>
      <c r="G462" s="117"/>
      <c r="H462" s="117"/>
      <c r="I462" s="117"/>
      <c r="J462" s="117"/>
    </row>
    <row r="463" spans="1:10" ht="11.25" customHeight="1" x14ac:dyDescent="0.2">
      <c r="A463" s="116"/>
      <c r="B463" s="128" t="s">
        <v>387</v>
      </c>
      <c r="C463" s="120"/>
      <c r="D463" s="117"/>
      <c r="E463" s="117"/>
      <c r="F463" s="117"/>
      <c r="G463" s="117"/>
      <c r="H463" s="117"/>
      <c r="I463" s="117"/>
      <c r="J463" s="117"/>
    </row>
    <row r="464" spans="1:10" ht="11.25" customHeight="1" x14ac:dyDescent="0.2">
      <c r="A464" s="116"/>
      <c r="B464" s="128" t="s">
        <v>388</v>
      </c>
      <c r="C464" s="120"/>
      <c r="D464" s="117"/>
      <c r="E464" s="117"/>
      <c r="F464" s="117"/>
      <c r="G464" s="117"/>
      <c r="H464" s="117"/>
      <c r="I464" s="117"/>
      <c r="J464" s="117"/>
    </row>
    <row r="465" spans="1:10" ht="11.25" customHeight="1" x14ac:dyDescent="0.2">
      <c r="A465" s="146"/>
      <c r="B465" s="126" t="s">
        <v>389</v>
      </c>
      <c r="C465" s="127">
        <f>SUM(D465+F465)</f>
        <v>40744</v>
      </c>
      <c r="D465" s="147">
        <f>SUM(E465)</f>
        <v>40744</v>
      </c>
      <c r="E465" s="147">
        <v>40744</v>
      </c>
      <c r="F465" s="147">
        <v>0</v>
      </c>
      <c r="G465" s="147">
        <v>0</v>
      </c>
      <c r="H465" s="147">
        <v>0</v>
      </c>
      <c r="I465" s="147">
        <v>0</v>
      </c>
      <c r="J465" s="147">
        <v>0</v>
      </c>
    </row>
    <row r="466" spans="1:10" ht="11.25" customHeight="1" thickBot="1" x14ac:dyDescent="0.25">
      <c r="A466" s="122" t="s">
        <v>62</v>
      </c>
      <c r="B466" s="175" t="s">
        <v>63</v>
      </c>
      <c r="C466" s="112">
        <f>SUM(C467,C476,C481,C485,C489,C471,)</f>
        <v>74143363</v>
      </c>
      <c r="D466" s="112">
        <f t="shared" ref="D466:J466" si="67">SUM(D467,D476,D481,D485,D489,D471,)</f>
        <v>42925620</v>
      </c>
      <c r="E466" s="112">
        <f t="shared" si="67"/>
        <v>97620</v>
      </c>
      <c r="F466" s="112">
        <f t="shared" si="67"/>
        <v>31217743</v>
      </c>
      <c r="G466" s="112">
        <f t="shared" si="67"/>
        <v>18683700</v>
      </c>
      <c r="H466" s="112">
        <f t="shared" si="67"/>
        <v>100</v>
      </c>
      <c r="I466" s="112">
        <f t="shared" si="67"/>
        <v>0</v>
      </c>
      <c r="J466" s="112">
        <f t="shared" si="67"/>
        <v>12533943</v>
      </c>
    </row>
    <row r="467" spans="1:10" ht="11.25" customHeight="1" thickTop="1" x14ac:dyDescent="0.2">
      <c r="A467" s="125" t="s">
        <v>390</v>
      </c>
      <c r="B467" s="105" t="s">
        <v>391</v>
      </c>
      <c r="C467" s="127">
        <f t="shared" ref="C467:J467" si="68">SUM(C470)</f>
        <v>41003300</v>
      </c>
      <c r="D467" s="127">
        <f t="shared" si="68"/>
        <v>41003300</v>
      </c>
      <c r="E467" s="127">
        <f t="shared" si="68"/>
        <v>0</v>
      </c>
      <c r="F467" s="127">
        <f t="shared" si="68"/>
        <v>0</v>
      </c>
      <c r="G467" s="127">
        <f t="shared" si="68"/>
        <v>0</v>
      </c>
      <c r="H467" s="127">
        <f t="shared" si="68"/>
        <v>0</v>
      </c>
      <c r="I467" s="127">
        <f t="shared" si="68"/>
        <v>0</v>
      </c>
      <c r="J467" s="127">
        <f t="shared" si="68"/>
        <v>0</v>
      </c>
    </row>
    <row r="468" spans="1:10" ht="11.25" customHeight="1" x14ac:dyDescent="0.2">
      <c r="A468" s="116" t="s">
        <v>167</v>
      </c>
      <c r="B468" s="121" t="s">
        <v>168</v>
      </c>
      <c r="C468" s="120"/>
      <c r="D468" s="120"/>
      <c r="E468" s="120"/>
      <c r="F468" s="120"/>
      <c r="G468" s="120"/>
      <c r="H468" s="120"/>
      <c r="I468" s="120"/>
      <c r="J468" s="120"/>
    </row>
    <row r="469" spans="1:10" ht="11.25" customHeight="1" x14ac:dyDescent="0.2">
      <c r="A469" s="133"/>
      <c r="B469" s="121" t="s">
        <v>392</v>
      </c>
      <c r="C469" s="120"/>
      <c r="D469" s="120"/>
      <c r="E469" s="120"/>
      <c r="F469" s="120"/>
      <c r="G469" s="120"/>
      <c r="H469" s="120"/>
      <c r="I469" s="120"/>
      <c r="J469" s="120"/>
    </row>
    <row r="470" spans="1:10" ht="11.25" customHeight="1" x14ac:dyDescent="0.2">
      <c r="A470" s="116"/>
      <c r="B470" s="128" t="s">
        <v>286</v>
      </c>
      <c r="C470" s="120">
        <f>SUM(D470:F470)</f>
        <v>41003300</v>
      </c>
      <c r="D470" s="117">
        <v>41003300</v>
      </c>
      <c r="E470" s="117">
        <v>0</v>
      </c>
      <c r="F470" s="117">
        <v>0</v>
      </c>
      <c r="G470" s="117">
        <v>0</v>
      </c>
      <c r="H470" s="117">
        <v>0</v>
      </c>
      <c r="I470" s="117">
        <v>0</v>
      </c>
      <c r="J470" s="117">
        <v>0</v>
      </c>
    </row>
    <row r="471" spans="1:10" ht="11.25" customHeight="1" x14ac:dyDescent="0.2">
      <c r="A471" s="146" t="s">
        <v>393</v>
      </c>
      <c r="B471" s="105" t="s">
        <v>394</v>
      </c>
      <c r="C471" s="127">
        <f t="shared" ref="C471:J471" si="69">SUM(C472:C475)</f>
        <v>18683700</v>
      </c>
      <c r="D471" s="127">
        <f t="shared" si="69"/>
        <v>0</v>
      </c>
      <c r="E471" s="127">
        <f t="shared" si="69"/>
        <v>0</v>
      </c>
      <c r="F471" s="127">
        <f t="shared" si="69"/>
        <v>18683700</v>
      </c>
      <c r="G471" s="127">
        <f t="shared" si="69"/>
        <v>18683700</v>
      </c>
      <c r="H471" s="127">
        <f t="shared" si="69"/>
        <v>0</v>
      </c>
      <c r="I471" s="127">
        <f t="shared" si="69"/>
        <v>0</v>
      </c>
      <c r="J471" s="127">
        <f t="shared" si="69"/>
        <v>0</v>
      </c>
    </row>
    <row r="472" spans="1:10" ht="12" customHeight="1" x14ac:dyDescent="0.2">
      <c r="A472" s="116" t="s">
        <v>203</v>
      </c>
      <c r="B472" s="128" t="s">
        <v>204</v>
      </c>
      <c r="C472" s="120"/>
      <c r="D472" s="117"/>
      <c r="E472" s="117"/>
      <c r="F472" s="117"/>
      <c r="G472" s="117"/>
      <c r="H472" s="117"/>
      <c r="I472" s="117"/>
      <c r="J472" s="117"/>
    </row>
    <row r="473" spans="1:10" ht="13.5" customHeight="1" x14ac:dyDescent="0.2">
      <c r="A473" s="133"/>
      <c r="B473" s="128" t="s">
        <v>205</v>
      </c>
      <c r="C473" s="120"/>
      <c r="D473" s="117"/>
      <c r="E473" s="117"/>
      <c r="F473" s="117"/>
      <c r="G473" s="117"/>
      <c r="H473" s="117"/>
      <c r="I473" s="117"/>
      <c r="J473" s="117"/>
    </row>
    <row r="474" spans="1:10" ht="13.5" customHeight="1" x14ac:dyDescent="0.2">
      <c r="A474" s="133"/>
      <c r="B474" s="128" t="s">
        <v>206</v>
      </c>
      <c r="C474" s="120"/>
      <c r="D474" s="117"/>
      <c r="E474" s="117"/>
      <c r="F474" s="117"/>
      <c r="G474" s="117"/>
      <c r="H474" s="117"/>
      <c r="I474" s="117"/>
      <c r="J474" s="117"/>
    </row>
    <row r="475" spans="1:10" ht="13.5" customHeight="1" x14ac:dyDescent="0.2">
      <c r="A475" s="133"/>
      <c r="B475" s="128" t="s">
        <v>207</v>
      </c>
      <c r="C475" s="120">
        <f>SUM(F475)</f>
        <v>18683700</v>
      </c>
      <c r="D475" s="117">
        <v>0</v>
      </c>
      <c r="E475" s="117">
        <v>0</v>
      </c>
      <c r="F475" s="117">
        <f>G475</f>
        <v>18683700</v>
      </c>
      <c r="G475" s="117">
        <v>18683700</v>
      </c>
      <c r="H475" s="117">
        <v>0</v>
      </c>
      <c r="I475" s="117">
        <v>0</v>
      </c>
      <c r="J475" s="117">
        <v>0</v>
      </c>
    </row>
    <row r="476" spans="1:10" ht="11.25" customHeight="1" x14ac:dyDescent="0.2">
      <c r="A476" s="125" t="s">
        <v>395</v>
      </c>
      <c r="B476" s="105" t="s">
        <v>396</v>
      </c>
      <c r="C476" s="127">
        <f>SUM(C477:C480)</f>
        <v>62500</v>
      </c>
      <c r="D476" s="127">
        <f t="shared" ref="D476:J476" si="70">SUM(D477:D480)</f>
        <v>62500</v>
      </c>
      <c r="E476" s="127">
        <f t="shared" si="70"/>
        <v>0</v>
      </c>
      <c r="F476" s="127">
        <f t="shared" si="70"/>
        <v>0</v>
      </c>
      <c r="G476" s="127">
        <f t="shared" si="70"/>
        <v>0</v>
      </c>
      <c r="H476" s="127">
        <f t="shared" si="70"/>
        <v>0</v>
      </c>
      <c r="I476" s="127">
        <f t="shared" si="70"/>
        <v>0</v>
      </c>
      <c r="J476" s="127">
        <f t="shared" si="70"/>
        <v>0</v>
      </c>
    </row>
    <row r="477" spans="1:10" ht="11.25" customHeight="1" x14ac:dyDescent="0.2">
      <c r="A477" s="116" t="s">
        <v>113</v>
      </c>
      <c r="B477" s="121" t="s">
        <v>114</v>
      </c>
      <c r="C477" s="120">
        <f>SUM(D477:F477)</f>
        <v>50000</v>
      </c>
      <c r="D477" s="117">
        <v>50000</v>
      </c>
      <c r="E477" s="117">
        <v>0</v>
      </c>
      <c r="F477" s="117">
        <v>0</v>
      </c>
      <c r="G477" s="117">
        <v>0</v>
      </c>
      <c r="H477" s="117">
        <v>0</v>
      </c>
      <c r="I477" s="117">
        <v>0</v>
      </c>
      <c r="J477" s="117">
        <v>0</v>
      </c>
    </row>
    <row r="478" spans="1:10" ht="11.25" customHeight="1" x14ac:dyDescent="0.2">
      <c r="A478" s="116" t="s">
        <v>115</v>
      </c>
      <c r="B478" s="121" t="s">
        <v>116</v>
      </c>
      <c r="C478" s="120">
        <f>SUM(D478:F478)</f>
        <v>500</v>
      </c>
      <c r="D478" s="117">
        <v>500</v>
      </c>
      <c r="E478" s="117">
        <v>0</v>
      </c>
      <c r="F478" s="117">
        <v>0</v>
      </c>
      <c r="G478" s="117">
        <v>0</v>
      </c>
      <c r="H478" s="117">
        <v>0</v>
      </c>
      <c r="I478" s="117">
        <v>0</v>
      </c>
      <c r="J478" s="117">
        <v>0</v>
      </c>
    </row>
    <row r="479" spans="1:10" ht="11.25" customHeight="1" x14ac:dyDescent="0.2">
      <c r="A479" s="116" t="s">
        <v>329</v>
      </c>
      <c r="B479" s="121" t="s">
        <v>330</v>
      </c>
      <c r="C479" s="120"/>
      <c r="D479" s="117"/>
      <c r="E479" s="117"/>
      <c r="F479" s="117"/>
      <c r="G479" s="117"/>
      <c r="H479" s="117"/>
      <c r="I479" s="117"/>
      <c r="J479" s="117"/>
    </row>
    <row r="480" spans="1:10" ht="11.25" customHeight="1" x14ac:dyDescent="0.2">
      <c r="A480" s="138"/>
      <c r="B480" s="121" t="s">
        <v>331</v>
      </c>
      <c r="C480" s="120">
        <f>SUM(D480:F480)</f>
        <v>12000</v>
      </c>
      <c r="D480" s="117">
        <v>12000</v>
      </c>
      <c r="E480" s="117">
        <v>0</v>
      </c>
      <c r="F480" s="117">
        <v>0</v>
      </c>
      <c r="G480" s="117">
        <v>0</v>
      </c>
      <c r="H480" s="117">
        <v>0</v>
      </c>
      <c r="I480" s="117">
        <v>0</v>
      </c>
      <c r="J480" s="117">
        <v>0</v>
      </c>
    </row>
    <row r="481" spans="1:10" ht="11.25" customHeight="1" x14ac:dyDescent="0.2">
      <c r="A481" s="177">
        <v>90015</v>
      </c>
      <c r="B481" s="105" t="s">
        <v>397</v>
      </c>
      <c r="C481" s="127">
        <f t="shared" ref="C481:J481" si="71">SUM(C482:C483)</f>
        <v>4600</v>
      </c>
      <c r="D481" s="127">
        <f t="shared" si="71"/>
        <v>4600</v>
      </c>
      <c r="E481" s="127">
        <f t="shared" si="71"/>
        <v>0</v>
      </c>
      <c r="F481" s="127">
        <f t="shared" si="71"/>
        <v>0</v>
      </c>
      <c r="G481" s="127">
        <f t="shared" si="71"/>
        <v>0</v>
      </c>
      <c r="H481" s="127">
        <f t="shared" si="71"/>
        <v>0</v>
      </c>
      <c r="I481" s="127">
        <f t="shared" si="71"/>
        <v>0</v>
      </c>
      <c r="J481" s="127">
        <f t="shared" si="71"/>
        <v>0</v>
      </c>
    </row>
    <row r="482" spans="1:10" ht="11.25" customHeight="1" x14ac:dyDescent="0.2">
      <c r="A482" s="178" t="s">
        <v>119</v>
      </c>
      <c r="B482" s="97" t="s">
        <v>120</v>
      </c>
      <c r="C482" s="118">
        <f>SUM(D482)</f>
        <v>100</v>
      </c>
      <c r="D482" s="119">
        <v>100</v>
      </c>
      <c r="E482" s="119">
        <v>0</v>
      </c>
      <c r="F482" s="119">
        <v>0</v>
      </c>
      <c r="G482" s="119">
        <v>0</v>
      </c>
      <c r="H482" s="119">
        <v>0</v>
      </c>
      <c r="I482" s="119">
        <v>0</v>
      </c>
      <c r="J482" s="119">
        <v>0</v>
      </c>
    </row>
    <row r="483" spans="1:10" ht="11.25" customHeight="1" x14ac:dyDescent="0.2">
      <c r="A483" s="174" t="s">
        <v>121</v>
      </c>
      <c r="B483" s="128" t="s">
        <v>122</v>
      </c>
      <c r="C483" s="120">
        <f>SUM(D483)</f>
        <v>4500</v>
      </c>
      <c r="D483" s="117">
        <v>4500</v>
      </c>
      <c r="E483" s="117">
        <v>0</v>
      </c>
      <c r="F483" s="117">
        <v>0</v>
      </c>
      <c r="G483" s="117">
        <v>0</v>
      </c>
      <c r="H483" s="117">
        <v>0</v>
      </c>
      <c r="I483" s="117">
        <v>0</v>
      </c>
      <c r="J483" s="117">
        <v>0</v>
      </c>
    </row>
    <row r="484" spans="1:10" ht="11.25" customHeight="1" x14ac:dyDescent="0.2">
      <c r="A484" s="133" t="s">
        <v>398</v>
      </c>
      <c r="B484" s="121" t="s">
        <v>399</v>
      </c>
      <c r="C484" s="117"/>
      <c r="D484" s="117"/>
      <c r="E484" s="117"/>
      <c r="F484" s="117"/>
      <c r="G484" s="117"/>
      <c r="H484" s="117"/>
      <c r="I484" s="117"/>
      <c r="J484" s="117"/>
    </row>
    <row r="485" spans="1:10" ht="11.25" customHeight="1" x14ac:dyDescent="0.2">
      <c r="A485" s="125"/>
      <c r="B485" s="105" t="s">
        <v>400</v>
      </c>
      <c r="C485" s="127">
        <f t="shared" ref="C485:J485" si="72">SUM(C487:C488)</f>
        <v>1501000</v>
      </c>
      <c r="D485" s="127">
        <f t="shared" si="72"/>
        <v>1501000</v>
      </c>
      <c r="E485" s="127">
        <f t="shared" si="72"/>
        <v>0</v>
      </c>
      <c r="F485" s="127">
        <f t="shared" si="72"/>
        <v>0</v>
      </c>
      <c r="G485" s="127">
        <f t="shared" si="72"/>
        <v>0</v>
      </c>
      <c r="H485" s="127">
        <f t="shared" si="72"/>
        <v>0</v>
      </c>
      <c r="I485" s="127">
        <f t="shared" si="72"/>
        <v>0</v>
      </c>
      <c r="J485" s="127">
        <f t="shared" si="72"/>
        <v>0</v>
      </c>
    </row>
    <row r="486" spans="1:10" ht="11.25" customHeight="1" x14ac:dyDescent="0.2">
      <c r="A486" s="159" t="s">
        <v>146</v>
      </c>
      <c r="B486" s="97" t="s">
        <v>401</v>
      </c>
      <c r="C486" s="119"/>
      <c r="D486" s="119"/>
      <c r="E486" s="119"/>
      <c r="F486" s="119"/>
      <c r="G486" s="119"/>
      <c r="H486" s="119"/>
      <c r="I486" s="119"/>
      <c r="J486" s="119"/>
    </row>
    <row r="487" spans="1:10" ht="11.25" customHeight="1" x14ac:dyDescent="0.2">
      <c r="A487" s="133"/>
      <c r="B487" s="121" t="s">
        <v>402</v>
      </c>
      <c r="C487" s="120">
        <f>SUM(D487:F487)</f>
        <v>1000</v>
      </c>
      <c r="D487" s="117">
        <v>1000</v>
      </c>
      <c r="E487" s="117">
        <v>0</v>
      </c>
      <c r="F487" s="117">
        <v>0</v>
      </c>
      <c r="G487" s="117">
        <v>0</v>
      </c>
      <c r="H487" s="117">
        <v>0</v>
      </c>
      <c r="I487" s="117">
        <v>0</v>
      </c>
      <c r="J487" s="117">
        <v>0</v>
      </c>
    </row>
    <row r="488" spans="1:10" ht="11.25" customHeight="1" x14ac:dyDescent="0.2">
      <c r="A488" s="116" t="s">
        <v>97</v>
      </c>
      <c r="B488" s="121" t="s">
        <v>98</v>
      </c>
      <c r="C488" s="120">
        <f>SUM(D488:F488)</f>
        <v>1500000</v>
      </c>
      <c r="D488" s="117">
        <f>1000000+500000</f>
        <v>1500000</v>
      </c>
      <c r="E488" s="117">
        <v>0</v>
      </c>
      <c r="F488" s="117">
        <v>0</v>
      </c>
      <c r="G488" s="117">
        <v>0</v>
      </c>
      <c r="H488" s="117">
        <v>0</v>
      </c>
      <c r="I488" s="117">
        <v>0</v>
      </c>
      <c r="J488" s="117">
        <v>0</v>
      </c>
    </row>
    <row r="489" spans="1:10" ht="11.25" customHeight="1" x14ac:dyDescent="0.2">
      <c r="A489" s="146" t="s">
        <v>403</v>
      </c>
      <c r="B489" s="105" t="s">
        <v>96</v>
      </c>
      <c r="C489" s="127">
        <f>SUM(C490:C519)</f>
        <v>12888263</v>
      </c>
      <c r="D489" s="127">
        <f t="shared" ref="D489:J489" si="73">SUM(D490:D519)</f>
        <v>354220</v>
      </c>
      <c r="E489" s="127">
        <f t="shared" si="73"/>
        <v>97620</v>
      </c>
      <c r="F489" s="127">
        <f t="shared" si="73"/>
        <v>12534043</v>
      </c>
      <c r="G489" s="127">
        <f t="shared" si="73"/>
        <v>0</v>
      </c>
      <c r="H489" s="127">
        <f t="shared" si="73"/>
        <v>100</v>
      </c>
      <c r="I489" s="127">
        <f t="shared" si="73"/>
        <v>0</v>
      </c>
      <c r="J489" s="127">
        <f t="shared" si="73"/>
        <v>12533943</v>
      </c>
    </row>
    <row r="490" spans="1:10" ht="11.25" customHeight="1" x14ac:dyDescent="0.2">
      <c r="A490" s="116" t="s">
        <v>99</v>
      </c>
      <c r="B490" s="121" t="s">
        <v>172</v>
      </c>
      <c r="C490" s="117"/>
      <c r="D490" s="117"/>
      <c r="E490" s="117"/>
      <c r="F490" s="117"/>
      <c r="G490" s="117"/>
      <c r="H490" s="117"/>
      <c r="I490" s="117"/>
      <c r="J490" s="117"/>
    </row>
    <row r="491" spans="1:10" ht="11.25" customHeight="1" x14ac:dyDescent="0.2">
      <c r="A491" s="143"/>
      <c r="B491" s="121" t="s">
        <v>173</v>
      </c>
      <c r="C491" s="117"/>
      <c r="D491" s="117"/>
      <c r="E491" s="117"/>
      <c r="F491" s="117"/>
      <c r="G491" s="117"/>
      <c r="H491" s="117"/>
      <c r="I491" s="117"/>
      <c r="J491" s="117"/>
    </row>
    <row r="492" spans="1:10" ht="11.25" customHeight="1" x14ac:dyDescent="0.2">
      <c r="A492" s="143"/>
      <c r="B492" s="121" t="s">
        <v>174</v>
      </c>
      <c r="C492" s="117"/>
      <c r="D492" s="117"/>
      <c r="E492" s="117"/>
      <c r="F492" s="117"/>
      <c r="G492" s="117"/>
      <c r="H492" s="117"/>
      <c r="I492" s="117"/>
      <c r="J492" s="117"/>
    </row>
    <row r="493" spans="1:10" ht="11.25" customHeight="1" x14ac:dyDescent="0.2">
      <c r="A493" s="143"/>
      <c r="B493" s="121" t="s">
        <v>404</v>
      </c>
      <c r="C493" s="117"/>
      <c r="D493" s="117"/>
      <c r="E493" s="117"/>
      <c r="F493" s="117"/>
      <c r="G493" s="117"/>
      <c r="H493" s="117"/>
      <c r="I493" s="117"/>
      <c r="J493" s="117"/>
    </row>
    <row r="494" spans="1:10" ht="11.25" customHeight="1" x14ac:dyDescent="0.2">
      <c r="A494" s="143"/>
      <c r="B494" s="121" t="s">
        <v>405</v>
      </c>
      <c r="C494" s="120">
        <f>SUM(D494:F494)</f>
        <v>120000</v>
      </c>
      <c r="D494" s="117">
        <v>120000</v>
      </c>
      <c r="E494" s="117">
        <v>0</v>
      </c>
      <c r="F494" s="117">
        <v>0</v>
      </c>
      <c r="G494" s="117">
        <v>0</v>
      </c>
      <c r="H494" s="117">
        <v>0</v>
      </c>
      <c r="I494" s="117">
        <v>0</v>
      </c>
      <c r="J494" s="117">
        <v>0</v>
      </c>
    </row>
    <row r="495" spans="1:10" ht="11.25" customHeight="1" x14ac:dyDescent="0.2">
      <c r="A495" s="116" t="s">
        <v>113</v>
      </c>
      <c r="B495" s="121" t="s">
        <v>114</v>
      </c>
      <c r="C495" s="120">
        <f>SUM(D495)</f>
        <v>11000</v>
      </c>
      <c r="D495" s="117">
        <v>11000</v>
      </c>
      <c r="E495" s="117">
        <v>0</v>
      </c>
      <c r="F495" s="117">
        <v>0</v>
      </c>
      <c r="G495" s="117">
        <v>0</v>
      </c>
      <c r="H495" s="117">
        <v>0</v>
      </c>
      <c r="I495" s="117">
        <v>0</v>
      </c>
      <c r="J495" s="117">
        <v>0</v>
      </c>
    </row>
    <row r="496" spans="1:10" ht="11.25" customHeight="1" x14ac:dyDescent="0.2">
      <c r="A496" s="116" t="s">
        <v>106</v>
      </c>
      <c r="B496" s="121" t="s">
        <v>107</v>
      </c>
      <c r="C496" s="120">
        <f>F496</f>
        <v>100</v>
      </c>
      <c r="D496" s="117">
        <v>0</v>
      </c>
      <c r="E496" s="117">
        <v>0</v>
      </c>
      <c r="F496" s="120">
        <f>SUM(G496:J496)</f>
        <v>100</v>
      </c>
      <c r="G496" s="117">
        <v>0</v>
      </c>
      <c r="H496" s="117">
        <v>100</v>
      </c>
      <c r="I496" s="117">
        <v>0</v>
      </c>
      <c r="J496" s="117">
        <v>0</v>
      </c>
    </row>
    <row r="497" spans="1:10" ht="11.25" customHeight="1" x14ac:dyDescent="0.2">
      <c r="A497" s="116" t="s">
        <v>115</v>
      </c>
      <c r="B497" s="121" t="s">
        <v>116</v>
      </c>
      <c r="C497" s="120">
        <f>SUM(D497:F497)</f>
        <v>1100</v>
      </c>
      <c r="D497" s="117">
        <v>1100</v>
      </c>
      <c r="E497" s="117">
        <v>0</v>
      </c>
      <c r="F497" s="117">
        <v>0</v>
      </c>
      <c r="G497" s="117">
        <v>0</v>
      </c>
      <c r="H497" s="117">
        <v>0</v>
      </c>
      <c r="I497" s="117">
        <v>0</v>
      </c>
      <c r="J497" s="117">
        <v>0</v>
      </c>
    </row>
    <row r="498" spans="1:10" ht="11.25" customHeight="1" x14ac:dyDescent="0.2">
      <c r="A498" s="116" t="s">
        <v>117</v>
      </c>
      <c r="B498" s="121" t="s">
        <v>118</v>
      </c>
      <c r="C498" s="120">
        <f>SUM(D498,F498)</f>
        <v>10000</v>
      </c>
      <c r="D498" s="117">
        <v>10000</v>
      </c>
      <c r="E498" s="117">
        <v>0</v>
      </c>
      <c r="F498" s="117">
        <v>0</v>
      </c>
      <c r="G498" s="117">
        <v>0</v>
      </c>
      <c r="H498" s="117">
        <v>0</v>
      </c>
      <c r="I498" s="117">
        <v>0</v>
      </c>
      <c r="J498" s="117">
        <v>0</v>
      </c>
    </row>
    <row r="499" spans="1:10" ht="11.25" customHeight="1" x14ac:dyDescent="0.2">
      <c r="A499" s="116" t="s">
        <v>121</v>
      </c>
      <c r="B499" s="121" t="s">
        <v>122</v>
      </c>
      <c r="C499" s="120">
        <f>SUM(D499:F499)</f>
        <v>114500</v>
      </c>
      <c r="D499" s="117">
        <v>114500</v>
      </c>
      <c r="E499" s="117">
        <v>0</v>
      </c>
      <c r="F499" s="117">
        <v>0</v>
      </c>
      <c r="G499" s="117">
        <v>0</v>
      </c>
      <c r="H499" s="117">
        <v>0</v>
      </c>
      <c r="I499" s="117">
        <v>0</v>
      </c>
      <c r="J499" s="117">
        <v>0</v>
      </c>
    </row>
    <row r="500" spans="1:10" ht="11.25" customHeight="1" x14ac:dyDescent="0.2">
      <c r="A500" s="116" t="s">
        <v>406</v>
      </c>
      <c r="B500" s="132" t="s">
        <v>126</v>
      </c>
      <c r="C500" s="120"/>
      <c r="D500" s="117"/>
      <c r="E500" s="117"/>
      <c r="F500" s="117"/>
      <c r="G500" s="117"/>
      <c r="H500" s="117"/>
      <c r="I500" s="117"/>
      <c r="J500" s="117"/>
    </row>
    <row r="501" spans="1:10" ht="12" customHeight="1" x14ac:dyDescent="0.2">
      <c r="A501" s="133"/>
      <c r="B501" s="132" t="s">
        <v>407</v>
      </c>
      <c r="C501" s="120"/>
      <c r="D501" s="117"/>
      <c r="E501" s="117"/>
      <c r="F501" s="117"/>
      <c r="G501" s="117"/>
      <c r="H501" s="117"/>
      <c r="I501" s="117"/>
      <c r="J501" s="117"/>
    </row>
    <row r="502" spans="1:10" ht="12" customHeight="1" x14ac:dyDescent="0.2">
      <c r="A502" s="133"/>
      <c r="B502" s="132" t="s">
        <v>128</v>
      </c>
      <c r="C502" s="120"/>
      <c r="D502" s="117"/>
      <c r="E502" s="117"/>
      <c r="F502" s="117"/>
      <c r="G502" s="117"/>
      <c r="H502" s="117"/>
      <c r="I502" s="117"/>
      <c r="J502" s="117"/>
    </row>
    <row r="503" spans="1:10" ht="14.25" customHeight="1" x14ac:dyDescent="0.2">
      <c r="A503" s="133"/>
      <c r="B503" s="132" t="s">
        <v>129</v>
      </c>
      <c r="C503" s="120"/>
      <c r="D503" s="117"/>
      <c r="E503" s="117"/>
      <c r="F503" s="117"/>
      <c r="G503" s="117"/>
      <c r="H503" s="117"/>
      <c r="I503" s="117"/>
      <c r="J503" s="117"/>
    </row>
    <row r="504" spans="1:10" ht="12.75" customHeight="1" x14ac:dyDescent="0.2">
      <c r="A504" s="125"/>
      <c r="B504" s="134" t="s">
        <v>408</v>
      </c>
      <c r="C504" s="127">
        <f>SUM(D504)</f>
        <v>14643</v>
      </c>
      <c r="D504" s="147">
        <v>14643</v>
      </c>
      <c r="E504" s="147">
        <v>14643</v>
      </c>
      <c r="F504" s="147">
        <v>0</v>
      </c>
      <c r="G504" s="147">
        <v>0</v>
      </c>
      <c r="H504" s="147">
        <v>0</v>
      </c>
      <c r="I504" s="147">
        <v>0</v>
      </c>
      <c r="J504" s="147">
        <v>0</v>
      </c>
    </row>
    <row r="505" spans="1:10" ht="11.25" customHeight="1" x14ac:dyDescent="0.2">
      <c r="A505" s="116" t="s">
        <v>229</v>
      </c>
      <c r="B505" s="132" t="s">
        <v>126</v>
      </c>
      <c r="C505" s="120"/>
      <c r="D505" s="117"/>
      <c r="E505" s="117"/>
      <c r="F505" s="117"/>
      <c r="G505" s="117"/>
      <c r="H505" s="117"/>
      <c r="I505" s="117"/>
      <c r="J505" s="117"/>
    </row>
    <row r="506" spans="1:10" ht="13.5" customHeight="1" x14ac:dyDescent="0.2">
      <c r="A506" s="133"/>
      <c r="B506" s="132" t="s">
        <v>407</v>
      </c>
      <c r="C506" s="120"/>
      <c r="D506" s="117"/>
      <c r="E506" s="117"/>
      <c r="F506" s="117"/>
      <c r="G506" s="117"/>
      <c r="H506" s="117"/>
      <c r="I506" s="117"/>
      <c r="J506" s="117"/>
    </row>
    <row r="507" spans="1:10" ht="12.75" customHeight="1" x14ac:dyDescent="0.2">
      <c r="A507" s="133"/>
      <c r="B507" s="132" t="s">
        <v>128</v>
      </c>
      <c r="C507" s="120"/>
      <c r="D507" s="117"/>
      <c r="E507" s="117"/>
      <c r="F507" s="117"/>
      <c r="G507" s="117"/>
      <c r="H507" s="117"/>
      <c r="I507" s="117"/>
      <c r="J507" s="117"/>
    </row>
    <row r="508" spans="1:10" ht="12" customHeight="1" x14ac:dyDescent="0.2">
      <c r="A508" s="133"/>
      <c r="B508" s="132" t="s">
        <v>129</v>
      </c>
      <c r="C508" s="120"/>
      <c r="D508" s="117"/>
      <c r="E508" s="117"/>
      <c r="F508" s="117"/>
      <c r="G508" s="117"/>
      <c r="H508" s="117"/>
      <c r="I508" s="117"/>
      <c r="J508" s="117"/>
    </row>
    <row r="509" spans="1:10" ht="12" customHeight="1" x14ac:dyDescent="0.2">
      <c r="A509" s="133"/>
      <c r="B509" s="132" t="s">
        <v>408</v>
      </c>
      <c r="C509" s="120">
        <f>SUM(D509)</f>
        <v>82977</v>
      </c>
      <c r="D509" s="117">
        <v>82977</v>
      </c>
      <c r="E509" s="117">
        <v>82977</v>
      </c>
      <c r="F509" s="117">
        <v>0</v>
      </c>
      <c r="G509" s="117">
        <v>0</v>
      </c>
      <c r="H509" s="117">
        <v>0</v>
      </c>
      <c r="I509" s="117">
        <v>0</v>
      </c>
      <c r="J509" s="117">
        <v>0</v>
      </c>
    </row>
    <row r="510" spans="1:10" ht="12.75" customHeight="1" x14ac:dyDescent="0.2">
      <c r="A510" s="116" t="s">
        <v>125</v>
      </c>
      <c r="B510" s="132" t="s">
        <v>126</v>
      </c>
      <c r="C510" s="120"/>
      <c r="D510" s="120"/>
      <c r="E510" s="120"/>
      <c r="F510" s="120"/>
      <c r="G510" s="120"/>
      <c r="H510" s="120"/>
      <c r="I510" s="120"/>
      <c r="J510" s="120"/>
    </row>
    <row r="511" spans="1:10" ht="15" customHeight="1" x14ac:dyDescent="0.2">
      <c r="A511" s="133"/>
      <c r="B511" s="132" t="s">
        <v>127</v>
      </c>
      <c r="C511" s="120"/>
      <c r="D511" s="120"/>
      <c r="E511" s="120"/>
      <c r="F511" s="120"/>
      <c r="G511" s="120"/>
      <c r="H511" s="120"/>
      <c r="I511" s="120"/>
      <c r="J511" s="120"/>
    </row>
    <row r="512" spans="1:10" ht="13.5" customHeight="1" x14ac:dyDescent="0.2">
      <c r="A512" s="133"/>
      <c r="B512" s="132" t="s">
        <v>128</v>
      </c>
      <c r="C512" s="120"/>
      <c r="D512" s="120"/>
      <c r="E512" s="120"/>
      <c r="F512" s="120"/>
      <c r="G512" s="120"/>
      <c r="H512" s="120"/>
      <c r="I512" s="120"/>
      <c r="J512" s="120"/>
    </row>
    <row r="513" spans="1:10" ht="15" customHeight="1" x14ac:dyDescent="0.2">
      <c r="A513" s="133"/>
      <c r="B513" s="132" t="s">
        <v>129</v>
      </c>
      <c r="C513" s="120"/>
      <c r="D513" s="120"/>
      <c r="E513" s="120"/>
      <c r="F513" s="120"/>
      <c r="G513" s="120"/>
      <c r="H513" s="120"/>
      <c r="I513" s="120"/>
      <c r="J513" s="120"/>
    </row>
    <row r="514" spans="1:10" ht="13.5" customHeight="1" x14ac:dyDescent="0.2">
      <c r="A514" s="133"/>
      <c r="B514" s="135" t="s">
        <v>130</v>
      </c>
      <c r="C514" s="120">
        <f>SUM(F514)</f>
        <v>1880091.45</v>
      </c>
      <c r="D514" s="120">
        <v>0</v>
      </c>
      <c r="E514" s="120">
        <v>0</v>
      </c>
      <c r="F514" s="120">
        <f>SUM(G514:J514)</f>
        <v>1880091.45</v>
      </c>
      <c r="G514" s="120">
        <v>0</v>
      </c>
      <c r="H514" s="120">
        <v>0</v>
      </c>
      <c r="I514" s="120">
        <v>0</v>
      </c>
      <c r="J514" s="120">
        <f>1550091.45+330000</f>
        <v>1880091.45</v>
      </c>
    </row>
    <row r="515" spans="1:10" ht="12" customHeight="1" x14ac:dyDescent="0.2">
      <c r="A515" s="116" t="s">
        <v>131</v>
      </c>
      <c r="B515" s="132" t="s">
        <v>126</v>
      </c>
      <c r="C515" s="120"/>
      <c r="D515" s="120"/>
      <c r="E515" s="120"/>
      <c r="F515" s="120"/>
      <c r="G515" s="120"/>
      <c r="H515" s="120"/>
      <c r="I515" s="120"/>
      <c r="J515" s="120"/>
    </row>
    <row r="516" spans="1:10" ht="14.25" customHeight="1" x14ac:dyDescent="0.2">
      <c r="A516" s="133"/>
      <c r="B516" s="132" t="s">
        <v>127</v>
      </c>
      <c r="C516" s="120"/>
      <c r="D516" s="120"/>
      <c r="E516" s="120"/>
      <c r="F516" s="120"/>
      <c r="G516" s="120"/>
      <c r="H516" s="120"/>
      <c r="I516" s="120"/>
      <c r="J516" s="120"/>
    </row>
    <row r="517" spans="1:10" ht="13.5" customHeight="1" x14ac:dyDescent="0.2">
      <c r="A517" s="133"/>
      <c r="B517" s="132" t="s">
        <v>128</v>
      </c>
      <c r="C517" s="120"/>
      <c r="D517" s="120"/>
      <c r="E517" s="120"/>
      <c r="F517" s="120"/>
      <c r="G517" s="120"/>
      <c r="H517" s="120"/>
      <c r="I517" s="120"/>
      <c r="J517" s="120"/>
    </row>
    <row r="518" spans="1:10" ht="12" customHeight="1" x14ac:dyDescent="0.2">
      <c r="A518" s="133"/>
      <c r="B518" s="132" t="s">
        <v>129</v>
      </c>
      <c r="C518" s="120"/>
      <c r="D518" s="120"/>
      <c r="E518" s="120"/>
      <c r="F518" s="120"/>
      <c r="G518" s="120"/>
      <c r="H518" s="120"/>
      <c r="I518" s="120"/>
      <c r="J518" s="120"/>
    </row>
    <row r="519" spans="1:10" ht="13.5" customHeight="1" x14ac:dyDescent="0.2">
      <c r="A519" s="125"/>
      <c r="B519" s="168" t="s">
        <v>130</v>
      </c>
      <c r="C519" s="127">
        <f>SUM(F519)</f>
        <v>10653851.550000001</v>
      </c>
      <c r="D519" s="127">
        <v>0</v>
      </c>
      <c r="E519" s="127">
        <v>0</v>
      </c>
      <c r="F519" s="127">
        <f>SUM(J519)</f>
        <v>10653851.550000001</v>
      </c>
      <c r="G519" s="127">
        <v>0</v>
      </c>
      <c r="H519" s="127">
        <v>0</v>
      </c>
      <c r="I519" s="127">
        <v>0</v>
      </c>
      <c r="J519" s="127">
        <f>8783851.55+1870000</f>
        <v>10653851.550000001</v>
      </c>
    </row>
    <row r="520" spans="1:10" ht="11.25" customHeight="1" thickBot="1" x14ac:dyDescent="0.25">
      <c r="A520" s="122" t="s">
        <v>66</v>
      </c>
      <c r="B520" s="111" t="s">
        <v>67</v>
      </c>
      <c r="C520" s="112">
        <f t="shared" ref="C520:J520" si="74">SUM(C526,C521)</f>
        <v>5519531</v>
      </c>
      <c r="D520" s="112">
        <f t="shared" si="74"/>
        <v>4275424</v>
      </c>
      <c r="E520" s="112">
        <f t="shared" si="74"/>
        <v>0</v>
      </c>
      <c r="F520" s="112">
        <f t="shared" si="74"/>
        <v>1244107</v>
      </c>
      <c r="G520" s="112">
        <f t="shared" si="74"/>
        <v>1243989</v>
      </c>
      <c r="H520" s="112">
        <f t="shared" si="74"/>
        <v>118</v>
      </c>
      <c r="I520" s="112">
        <f t="shared" si="74"/>
        <v>0</v>
      </c>
      <c r="J520" s="112">
        <f t="shared" si="74"/>
        <v>0</v>
      </c>
    </row>
    <row r="521" spans="1:10" ht="11.25" customHeight="1" thickTop="1" x14ac:dyDescent="0.2">
      <c r="A521" s="113" t="s">
        <v>409</v>
      </c>
      <c r="B521" s="114" t="s">
        <v>410</v>
      </c>
      <c r="C521" s="115">
        <f t="shared" ref="C521:J521" si="75">SUM(C522:C525)</f>
        <v>1243989</v>
      </c>
      <c r="D521" s="115">
        <f t="shared" si="75"/>
        <v>0</v>
      </c>
      <c r="E521" s="115">
        <f t="shared" si="75"/>
        <v>0</v>
      </c>
      <c r="F521" s="115">
        <f t="shared" si="75"/>
        <v>1243989</v>
      </c>
      <c r="G521" s="115">
        <f t="shared" si="75"/>
        <v>1243989</v>
      </c>
      <c r="H521" s="115">
        <f t="shared" si="75"/>
        <v>0</v>
      </c>
      <c r="I521" s="115">
        <f t="shared" si="75"/>
        <v>0</v>
      </c>
      <c r="J521" s="115">
        <f t="shared" si="75"/>
        <v>0</v>
      </c>
    </row>
    <row r="522" spans="1:10" ht="11.25" customHeight="1" x14ac:dyDescent="0.2">
      <c r="A522" s="133" t="s">
        <v>203</v>
      </c>
      <c r="B522" s="128" t="s">
        <v>204</v>
      </c>
      <c r="C522" s="179"/>
      <c r="D522" s="179"/>
      <c r="E522" s="179"/>
      <c r="F522" s="179"/>
      <c r="G522" s="179"/>
      <c r="H522" s="179"/>
      <c r="I522" s="179"/>
      <c r="J522" s="179"/>
    </row>
    <row r="523" spans="1:10" ht="11.25" customHeight="1" x14ac:dyDescent="0.2">
      <c r="A523" s="133"/>
      <c r="B523" s="128" t="s">
        <v>205</v>
      </c>
      <c r="C523" s="179"/>
      <c r="D523" s="179"/>
      <c r="E523" s="179"/>
      <c r="F523" s="179"/>
      <c r="G523" s="179"/>
      <c r="H523" s="179"/>
      <c r="I523" s="179"/>
      <c r="J523" s="179"/>
    </row>
    <row r="524" spans="1:10" ht="11.25" customHeight="1" x14ac:dyDescent="0.2">
      <c r="A524" s="133"/>
      <c r="B524" s="128" t="s">
        <v>206</v>
      </c>
      <c r="C524" s="179"/>
      <c r="D524" s="179"/>
      <c r="E524" s="179"/>
      <c r="F524" s="179"/>
      <c r="G524" s="179"/>
      <c r="H524" s="179"/>
      <c r="I524" s="179"/>
      <c r="J524" s="179"/>
    </row>
    <row r="525" spans="1:10" ht="11.25" customHeight="1" x14ac:dyDescent="0.2">
      <c r="A525" s="133"/>
      <c r="B525" s="128" t="s">
        <v>207</v>
      </c>
      <c r="C525" s="120">
        <f>SUM(F525)</f>
        <v>1243989</v>
      </c>
      <c r="D525" s="120">
        <v>0</v>
      </c>
      <c r="E525" s="120">
        <v>0</v>
      </c>
      <c r="F525" s="120">
        <f>G525</f>
        <v>1243989</v>
      </c>
      <c r="G525" s="120">
        <v>1243989</v>
      </c>
      <c r="H525" s="120">
        <v>0</v>
      </c>
      <c r="I525" s="120">
        <v>0</v>
      </c>
      <c r="J525" s="120">
        <v>0</v>
      </c>
    </row>
    <row r="526" spans="1:10" ht="11.25" customHeight="1" x14ac:dyDescent="0.2">
      <c r="A526" s="125" t="s">
        <v>411</v>
      </c>
      <c r="B526" s="105" t="s">
        <v>412</v>
      </c>
      <c r="C526" s="127">
        <f t="shared" ref="C526:J526" si="76">SUM(C530:C535)</f>
        <v>4275542</v>
      </c>
      <c r="D526" s="127">
        <f t="shared" si="76"/>
        <v>4275424</v>
      </c>
      <c r="E526" s="127">
        <f t="shared" si="76"/>
        <v>0</v>
      </c>
      <c r="F526" s="127">
        <f t="shared" si="76"/>
        <v>118</v>
      </c>
      <c r="G526" s="127">
        <f t="shared" si="76"/>
        <v>0</v>
      </c>
      <c r="H526" s="127">
        <f t="shared" si="76"/>
        <v>118</v>
      </c>
      <c r="I526" s="127">
        <f t="shared" si="76"/>
        <v>0</v>
      </c>
      <c r="J526" s="127">
        <f t="shared" si="76"/>
        <v>0</v>
      </c>
    </row>
    <row r="527" spans="1:10" ht="11.25" customHeight="1" x14ac:dyDescent="0.2">
      <c r="A527" s="116" t="s">
        <v>99</v>
      </c>
      <c r="B527" s="121" t="s">
        <v>413</v>
      </c>
      <c r="C527" s="117"/>
      <c r="D527" s="117"/>
      <c r="E527" s="117"/>
      <c r="F527" s="117"/>
      <c r="G527" s="117"/>
      <c r="H527" s="117"/>
      <c r="I527" s="117"/>
      <c r="J527" s="117"/>
    </row>
    <row r="528" spans="1:10" ht="11.25" customHeight="1" x14ac:dyDescent="0.2">
      <c r="A528" s="143"/>
      <c r="B528" s="121" t="s">
        <v>173</v>
      </c>
      <c r="C528" s="117"/>
      <c r="D528" s="117"/>
      <c r="E528" s="117"/>
      <c r="F528" s="117"/>
      <c r="G528" s="117"/>
      <c r="H528" s="117"/>
      <c r="I528" s="117"/>
      <c r="J528" s="117"/>
    </row>
    <row r="529" spans="1:10" ht="11.25" customHeight="1" x14ac:dyDescent="0.2">
      <c r="A529" s="143"/>
      <c r="B529" s="121" t="s">
        <v>174</v>
      </c>
      <c r="C529" s="117"/>
      <c r="D529" s="117"/>
      <c r="E529" s="117"/>
      <c r="F529" s="117"/>
      <c r="G529" s="117"/>
      <c r="H529" s="117"/>
      <c r="I529" s="117"/>
      <c r="J529" s="117"/>
    </row>
    <row r="530" spans="1:10" ht="11.25" customHeight="1" x14ac:dyDescent="0.2">
      <c r="A530" s="143"/>
      <c r="B530" s="121" t="s">
        <v>175</v>
      </c>
      <c r="C530" s="120">
        <f>SUM(D530)</f>
        <v>571850</v>
      </c>
      <c r="D530" s="117">
        <v>571850</v>
      </c>
      <c r="E530" s="117">
        <v>0</v>
      </c>
      <c r="F530" s="117">
        <v>0</v>
      </c>
      <c r="G530" s="117">
        <v>0</v>
      </c>
      <c r="H530" s="117">
        <v>0</v>
      </c>
      <c r="I530" s="117">
        <v>0</v>
      </c>
      <c r="J530" s="117">
        <v>0</v>
      </c>
    </row>
    <row r="531" spans="1:10" ht="11.25" customHeight="1" x14ac:dyDescent="0.2">
      <c r="A531" s="116" t="s">
        <v>113</v>
      </c>
      <c r="B531" s="121" t="s">
        <v>114</v>
      </c>
      <c r="C531" s="120">
        <f>SUM(D531)</f>
        <v>3528794</v>
      </c>
      <c r="D531" s="117">
        <v>3528794</v>
      </c>
      <c r="E531" s="117">
        <v>0</v>
      </c>
      <c r="F531" s="117">
        <v>0</v>
      </c>
      <c r="G531" s="117">
        <v>0</v>
      </c>
      <c r="H531" s="117">
        <v>0</v>
      </c>
      <c r="I531" s="117">
        <v>0</v>
      </c>
      <c r="J531" s="117">
        <v>0</v>
      </c>
    </row>
    <row r="532" spans="1:10" ht="11.25" customHeight="1" x14ac:dyDescent="0.2">
      <c r="A532" s="116" t="s">
        <v>106</v>
      </c>
      <c r="B532" s="121" t="s">
        <v>107</v>
      </c>
      <c r="C532" s="120">
        <f>SUM(D532,F532)</f>
        <v>118</v>
      </c>
      <c r="D532" s="117">
        <v>0</v>
      </c>
      <c r="E532" s="117">
        <v>0</v>
      </c>
      <c r="F532" s="117">
        <f>SUM(H532)</f>
        <v>118</v>
      </c>
      <c r="G532" s="117">
        <v>0</v>
      </c>
      <c r="H532" s="117">
        <v>118</v>
      </c>
      <c r="I532" s="117">
        <v>0</v>
      </c>
      <c r="J532" s="117">
        <v>0</v>
      </c>
    </row>
    <row r="533" spans="1:10" ht="11.25" customHeight="1" x14ac:dyDescent="0.2">
      <c r="A533" s="116" t="s">
        <v>115</v>
      </c>
      <c r="B533" s="121" t="s">
        <v>116</v>
      </c>
      <c r="C533" s="120">
        <f>SUM(D533)</f>
        <v>13237</v>
      </c>
      <c r="D533" s="117">
        <v>13237</v>
      </c>
      <c r="E533" s="117">
        <v>0</v>
      </c>
      <c r="F533" s="117">
        <v>0</v>
      </c>
      <c r="G533" s="117">
        <v>0</v>
      </c>
      <c r="H533" s="117">
        <v>0</v>
      </c>
      <c r="I533" s="117">
        <v>0</v>
      </c>
      <c r="J533" s="117">
        <v>0</v>
      </c>
    </row>
    <row r="534" spans="1:10" ht="11.25" customHeight="1" x14ac:dyDescent="0.2">
      <c r="A534" s="116" t="s">
        <v>117</v>
      </c>
      <c r="B534" s="121" t="s">
        <v>118</v>
      </c>
      <c r="C534" s="120">
        <f>SUM(D534)</f>
        <v>161435</v>
      </c>
      <c r="D534" s="117">
        <v>161435</v>
      </c>
      <c r="E534" s="117">
        <v>0</v>
      </c>
      <c r="F534" s="117">
        <v>0</v>
      </c>
      <c r="G534" s="117">
        <v>0</v>
      </c>
      <c r="H534" s="117">
        <v>0</v>
      </c>
      <c r="I534" s="117">
        <v>0</v>
      </c>
      <c r="J534" s="117">
        <v>0</v>
      </c>
    </row>
    <row r="535" spans="1:10" ht="11.25" customHeight="1" x14ac:dyDescent="0.2">
      <c r="A535" s="146" t="s">
        <v>121</v>
      </c>
      <c r="B535" s="126" t="s">
        <v>122</v>
      </c>
      <c r="C535" s="127">
        <f>SUM(D535)</f>
        <v>108</v>
      </c>
      <c r="D535" s="147">
        <v>108</v>
      </c>
      <c r="E535" s="147">
        <v>0</v>
      </c>
      <c r="F535" s="168">
        <v>0</v>
      </c>
      <c r="G535" s="168">
        <v>0</v>
      </c>
      <c r="H535" s="168">
        <v>0</v>
      </c>
      <c r="I535" s="168">
        <v>0</v>
      </c>
      <c r="J535" s="168">
        <v>0</v>
      </c>
    </row>
    <row r="536" spans="1:10" ht="11.25" customHeight="1" x14ac:dyDescent="0.2">
      <c r="A536" s="180"/>
      <c r="B536" s="181"/>
      <c r="C536" s="182"/>
      <c r="D536" s="182"/>
      <c r="E536" s="182"/>
      <c r="F536" s="182"/>
      <c r="G536" s="182"/>
      <c r="H536" s="182"/>
      <c r="I536" s="182"/>
      <c r="J536" s="182"/>
    </row>
    <row r="537" spans="1:10" ht="11.25" customHeight="1" x14ac:dyDescent="0.2">
      <c r="A537" s="183"/>
      <c r="B537" s="1233" t="s">
        <v>414</v>
      </c>
      <c r="C537" s="184">
        <f t="shared" ref="C537:J537" si="77">SUM(C14,C21,C24,C96,C106,C167,C177,C234,C240,C287,C292,C321,C403,C422,C466,C520,C317,)</f>
        <v>1138475255.4099998</v>
      </c>
      <c r="D537" s="184">
        <f t="shared" si="77"/>
        <v>934498488.61999989</v>
      </c>
      <c r="E537" s="184">
        <f t="shared" si="77"/>
        <v>3475686.27</v>
      </c>
      <c r="F537" s="184">
        <f t="shared" si="77"/>
        <v>203976766.79000002</v>
      </c>
      <c r="G537" s="184">
        <f t="shared" si="77"/>
        <v>81203650.890000001</v>
      </c>
      <c r="H537" s="184">
        <f t="shared" si="77"/>
        <v>4750218</v>
      </c>
      <c r="I537" s="184">
        <f t="shared" si="77"/>
        <v>120000</v>
      </c>
      <c r="J537" s="184">
        <f t="shared" si="77"/>
        <v>117902897.90000001</v>
      </c>
    </row>
    <row r="538" spans="1:10" ht="11.25" customHeight="1" x14ac:dyDescent="0.2">
      <c r="A538" s="185"/>
      <c r="B538" s="1234"/>
      <c r="C538" s="186"/>
      <c r="D538" s="186"/>
      <c r="E538" s="186"/>
      <c r="F538" s="186"/>
      <c r="G538" s="186"/>
      <c r="H538" s="186"/>
      <c r="I538" s="186"/>
      <c r="J538" s="186"/>
    </row>
    <row r="539" spans="1:10" ht="11.25" customHeight="1" x14ac:dyDescent="0.2">
      <c r="A539" s="187"/>
      <c r="B539" s="1235" t="s">
        <v>415</v>
      </c>
      <c r="C539" s="188"/>
      <c r="D539" s="188"/>
      <c r="E539" s="188"/>
      <c r="F539" s="188"/>
      <c r="G539" s="188"/>
      <c r="H539" s="188"/>
      <c r="I539" s="188"/>
      <c r="J539" s="189"/>
    </row>
    <row r="540" spans="1:10" ht="9" customHeight="1" x14ac:dyDescent="0.2">
      <c r="A540" s="187"/>
      <c r="B540" s="1235"/>
      <c r="C540" s="188"/>
      <c r="D540" s="188"/>
      <c r="E540" s="188"/>
      <c r="F540" s="188"/>
      <c r="G540" s="188"/>
      <c r="H540" s="188"/>
      <c r="I540" s="188"/>
      <c r="J540" s="189"/>
    </row>
    <row r="541" spans="1:10" ht="17.25" customHeight="1" thickBot="1" x14ac:dyDescent="0.25">
      <c r="A541" s="190">
        <v>400</v>
      </c>
      <c r="B541" s="191" t="s">
        <v>416</v>
      </c>
      <c r="C541" s="192">
        <f t="shared" ref="C541:J542" si="78">SUM(C542)</f>
        <v>15000</v>
      </c>
      <c r="D541" s="193">
        <f t="shared" si="78"/>
        <v>15000</v>
      </c>
      <c r="E541" s="192">
        <f t="shared" si="78"/>
        <v>0</v>
      </c>
      <c r="F541" s="193">
        <f t="shared" si="78"/>
        <v>0</v>
      </c>
      <c r="G541" s="192">
        <f t="shared" si="78"/>
        <v>0</v>
      </c>
      <c r="H541" s="193">
        <f t="shared" si="78"/>
        <v>0</v>
      </c>
      <c r="I541" s="194">
        <f t="shared" si="78"/>
        <v>0</v>
      </c>
      <c r="J541" s="192">
        <f t="shared" si="78"/>
        <v>0</v>
      </c>
    </row>
    <row r="542" spans="1:10" ht="11.25" customHeight="1" thickTop="1" x14ac:dyDescent="0.2">
      <c r="A542" s="195">
        <v>40003</v>
      </c>
      <c r="B542" s="196" t="s">
        <v>417</v>
      </c>
      <c r="C542" s="197">
        <f t="shared" si="78"/>
        <v>15000</v>
      </c>
      <c r="D542" s="198">
        <f t="shared" si="78"/>
        <v>15000</v>
      </c>
      <c r="E542" s="199">
        <f t="shared" si="78"/>
        <v>0</v>
      </c>
      <c r="F542" s="198">
        <f t="shared" si="78"/>
        <v>0</v>
      </c>
      <c r="G542" s="198">
        <f t="shared" si="78"/>
        <v>0</v>
      </c>
      <c r="H542" s="200">
        <f t="shared" si="78"/>
        <v>0</v>
      </c>
      <c r="I542" s="200">
        <f t="shared" si="78"/>
        <v>0</v>
      </c>
      <c r="J542" s="200">
        <f t="shared" si="78"/>
        <v>0</v>
      </c>
    </row>
    <row r="543" spans="1:10" ht="11.25" customHeight="1" x14ac:dyDescent="0.2">
      <c r="A543" s="201" t="s">
        <v>418</v>
      </c>
      <c r="B543" s="202" t="s">
        <v>419</v>
      </c>
      <c r="C543" s="203">
        <f>SUM(D543)</f>
        <v>15000</v>
      </c>
      <c r="D543" s="203">
        <v>15000</v>
      </c>
      <c r="E543" s="203">
        <v>0</v>
      </c>
      <c r="F543" s="203">
        <v>0</v>
      </c>
      <c r="G543" s="203">
        <v>0</v>
      </c>
      <c r="H543" s="203">
        <v>0</v>
      </c>
      <c r="I543" s="203">
        <v>0</v>
      </c>
      <c r="J543" s="203">
        <v>0</v>
      </c>
    </row>
    <row r="544" spans="1:10" ht="11.25" customHeight="1" thickBot="1" x14ac:dyDescent="0.25">
      <c r="A544" s="204" t="s">
        <v>24</v>
      </c>
      <c r="B544" s="205" t="s">
        <v>25</v>
      </c>
      <c r="C544" s="206">
        <f t="shared" ref="C544:J544" si="79">SUM(C545,C567)</f>
        <v>75301212.480000004</v>
      </c>
      <c r="D544" s="206">
        <f t="shared" si="79"/>
        <v>2796220</v>
      </c>
      <c r="E544" s="206">
        <f t="shared" si="79"/>
        <v>0</v>
      </c>
      <c r="F544" s="206">
        <f t="shared" si="79"/>
        <v>72504992.480000004</v>
      </c>
      <c r="G544" s="206">
        <f t="shared" si="79"/>
        <v>45967578.409999996</v>
      </c>
      <c r="H544" s="206">
        <f t="shared" si="79"/>
        <v>0</v>
      </c>
      <c r="I544" s="206">
        <f t="shared" si="79"/>
        <v>0</v>
      </c>
      <c r="J544" s="206">
        <f t="shared" si="79"/>
        <v>26537414.07</v>
      </c>
    </row>
    <row r="545" spans="1:10" ht="11.25" customHeight="1" thickTop="1" x14ac:dyDescent="0.2">
      <c r="A545" s="207" t="s">
        <v>420</v>
      </c>
      <c r="B545" s="208" t="s">
        <v>421</v>
      </c>
      <c r="C545" s="209">
        <f>SUM(C546:C566)</f>
        <v>75300712.480000004</v>
      </c>
      <c r="D545" s="209">
        <f t="shared" ref="D545:J545" si="80">SUM(D546:D566)</f>
        <v>2795720</v>
      </c>
      <c r="E545" s="209">
        <f t="shared" si="80"/>
        <v>0</v>
      </c>
      <c r="F545" s="209">
        <f t="shared" si="80"/>
        <v>72504992.480000004</v>
      </c>
      <c r="G545" s="209">
        <f t="shared" si="80"/>
        <v>45967578.409999996</v>
      </c>
      <c r="H545" s="209">
        <f t="shared" si="80"/>
        <v>0</v>
      </c>
      <c r="I545" s="209">
        <f t="shared" si="80"/>
        <v>0</v>
      </c>
      <c r="J545" s="209">
        <f t="shared" si="80"/>
        <v>26537414.07</v>
      </c>
    </row>
    <row r="546" spans="1:10" ht="11.25" customHeight="1" x14ac:dyDescent="0.2">
      <c r="A546" s="210" t="s">
        <v>247</v>
      </c>
      <c r="B546" s="211" t="s">
        <v>422</v>
      </c>
      <c r="C546" s="212">
        <f>SUM(D546)</f>
        <v>5000</v>
      </c>
      <c r="D546" s="212">
        <v>5000</v>
      </c>
      <c r="E546" s="212">
        <v>0</v>
      </c>
      <c r="F546" s="212">
        <v>0</v>
      </c>
      <c r="G546" s="212">
        <v>0</v>
      </c>
      <c r="H546" s="212">
        <v>0</v>
      </c>
      <c r="I546" s="212">
        <v>0</v>
      </c>
      <c r="J546" s="212">
        <v>0</v>
      </c>
    </row>
    <row r="547" spans="1:10" ht="11.25" customHeight="1" x14ac:dyDescent="0.2">
      <c r="A547" s="210" t="s">
        <v>146</v>
      </c>
      <c r="B547" s="213" t="s">
        <v>423</v>
      </c>
      <c r="C547" s="212">
        <f>SUM(D547)</f>
        <v>10000</v>
      </c>
      <c r="D547" s="212">
        <v>10000</v>
      </c>
      <c r="E547" s="212">
        <v>0</v>
      </c>
      <c r="F547" s="212">
        <v>0</v>
      </c>
      <c r="G547" s="212">
        <v>0</v>
      </c>
      <c r="H547" s="212">
        <v>0</v>
      </c>
      <c r="I547" s="212">
        <v>0</v>
      </c>
      <c r="J547" s="212">
        <v>0</v>
      </c>
    </row>
    <row r="548" spans="1:10" ht="11.25" customHeight="1" x14ac:dyDescent="0.2">
      <c r="A548" s="164" t="s">
        <v>149</v>
      </c>
      <c r="B548" s="213" t="s">
        <v>150</v>
      </c>
      <c r="C548" s="212"/>
      <c r="D548" s="212"/>
      <c r="E548" s="212">
        <v>0</v>
      </c>
      <c r="F548" s="212">
        <v>0</v>
      </c>
      <c r="G548" s="212">
        <v>0</v>
      </c>
      <c r="H548" s="212">
        <v>0</v>
      </c>
      <c r="I548" s="212">
        <v>0</v>
      </c>
      <c r="J548" s="212">
        <v>0</v>
      </c>
    </row>
    <row r="549" spans="1:10" ht="11.25" customHeight="1" x14ac:dyDescent="0.2">
      <c r="A549" s="164"/>
      <c r="B549" s="213" t="s">
        <v>151</v>
      </c>
      <c r="C549" s="212">
        <f>SUM(D549)</f>
        <v>2700000</v>
      </c>
      <c r="D549" s="212">
        <v>2700000</v>
      </c>
      <c r="E549" s="212">
        <v>0</v>
      </c>
      <c r="F549" s="212">
        <v>0</v>
      </c>
      <c r="G549" s="212">
        <v>0</v>
      </c>
      <c r="H549" s="212">
        <v>0</v>
      </c>
      <c r="I549" s="212">
        <v>0</v>
      </c>
      <c r="J549" s="212">
        <v>0</v>
      </c>
    </row>
    <row r="550" spans="1:10" ht="33.75" customHeight="1" x14ac:dyDescent="0.2">
      <c r="A550" s="214" t="s">
        <v>196</v>
      </c>
      <c r="B550" s="213" t="s">
        <v>358</v>
      </c>
      <c r="C550" s="212">
        <f>SUM(D550)</f>
        <v>2000</v>
      </c>
      <c r="D550" s="212">
        <v>2000</v>
      </c>
      <c r="E550" s="212">
        <v>0</v>
      </c>
      <c r="F550" s="212">
        <v>0</v>
      </c>
      <c r="G550" s="212">
        <v>0</v>
      </c>
      <c r="H550" s="212">
        <v>0</v>
      </c>
      <c r="I550" s="212">
        <v>0</v>
      </c>
      <c r="J550" s="212">
        <v>0</v>
      </c>
    </row>
    <row r="551" spans="1:10" ht="11.25" customHeight="1" x14ac:dyDescent="0.2">
      <c r="A551" s="164" t="s">
        <v>152</v>
      </c>
      <c r="B551" s="215" t="s">
        <v>153</v>
      </c>
      <c r="C551" s="212"/>
      <c r="D551" s="212"/>
      <c r="E551" s="212"/>
      <c r="F551" s="212"/>
      <c r="G551" s="212"/>
      <c r="H551" s="212"/>
      <c r="I551" s="212"/>
      <c r="J551" s="212"/>
    </row>
    <row r="552" spans="1:10" ht="11.25" customHeight="1" x14ac:dyDescent="0.2">
      <c r="A552" s="216"/>
      <c r="B552" s="215" t="s">
        <v>154</v>
      </c>
      <c r="C552" s="212">
        <f t="shared" ref="C552:C557" si="81">SUM(D552)</f>
        <v>1300</v>
      </c>
      <c r="D552" s="212">
        <v>1300</v>
      </c>
      <c r="E552" s="212">
        <v>0</v>
      </c>
      <c r="F552" s="212">
        <v>0</v>
      </c>
      <c r="G552" s="212">
        <v>0</v>
      </c>
      <c r="H552" s="212">
        <v>0</v>
      </c>
      <c r="I552" s="212">
        <v>0</v>
      </c>
      <c r="J552" s="212">
        <v>0</v>
      </c>
    </row>
    <row r="553" spans="1:10" ht="11.25" customHeight="1" x14ac:dyDescent="0.2">
      <c r="A553" s="164" t="s">
        <v>97</v>
      </c>
      <c r="B553" s="215" t="s">
        <v>98</v>
      </c>
      <c r="C553" s="212">
        <f t="shared" si="81"/>
        <v>400</v>
      </c>
      <c r="D553" s="212">
        <v>400</v>
      </c>
      <c r="E553" s="212">
        <v>0</v>
      </c>
      <c r="F553" s="212">
        <v>0</v>
      </c>
      <c r="G553" s="212">
        <v>0</v>
      </c>
      <c r="H553" s="212">
        <v>0</v>
      </c>
      <c r="I553" s="212">
        <v>0</v>
      </c>
      <c r="J553" s="212">
        <v>0</v>
      </c>
    </row>
    <row r="554" spans="1:10" ht="11.25" customHeight="1" x14ac:dyDescent="0.2">
      <c r="A554" s="164" t="s">
        <v>115</v>
      </c>
      <c r="B554" s="217" t="s">
        <v>116</v>
      </c>
      <c r="C554" s="212">
        <f t="shared" si="81"/>
        <v>4000</v>
      </c>
      <c r="D554" s="212">
        <f>3900+100</f>
        <v>4000</v>
      </c>
      <c r="E554" s="212">
        <v>0</v>
      </c>
      <c r="F554" s="212">
        <v>0</v>
      </c>
      <c r="G554" s="212">
        <v>0</v>
      </c>
      <c r="H554" s="212">
        <v>0</v>
      </c>
      <c r="I554" s="212">
        <v>0</v>
      </c>
      <c r="J554" s="212">
        <v>0</v>
      </c>
    </row>
    <row r="555" spans="1:10" ht="11.25" customHeight="1" x14ac:dyDescent="0.2">
      <c r="A555" s="164" t="s">
        <v>117</v>
      </c>
      <c r="B555" s="215" t="s">
        <v>118</v>
      </c>
      <c r="C555" s="212">
        <f t="shared" si="81"/>
        <v>6400</v>
      </c>
      <c r="D555" s="212">
        <f>6400</f>
        <v>6400</v>
      </c>
      <c r="E555" s="212">
        <v>0</v>
      </c>
      <c r="F555" s="212">
        <v>0</v>
      </c>
      <c r="G555" s="212">
        <v>0</v>
      </c>
      <c r="H555" s="212">
        <v>0</v>
      </c>
      <c r="I555" s="212">
        <v>0</v>
      </c>
      <c r="J555" s="212">
        <v>0</v>
      </c>
    </row>
    <row r="556" spans="1:10" ht="11.25" customHeight="1" x14ac:dyDescent="0.2">
      <c r="A556" s="164" t="s">
        <v>119</v>
      </c>
      <c r="B556" s="217" t="s">
        <v>120</v>
      </c>
      <c r="C556" s="212">
        <f t="shared" si="81"/>
        <v>64100</v>
      </c>
      <c r="D556" s="212">
        <f>100+64000</f>
        <v>64100</v>
      </c>
      <c r="E556" s="212">
        <v>0</v>
      </c>
      <c r="F556" s="212">
        <v>0</v>
      </c>
      <c r="G556" s="212">
        <v>0</v>
      </c>
      <c r="H556" s="212">
        <v>0</v>
      </c>
      <c r="I556" s="212">
        <v>0</v>
      </c>
      <c r="J556" s="212">
        <v>0</v>
      </c>
    </row>
    <row r="557" spans="1:10" ht="11.25" customHeight="1" x14ac:dyDescent="0.2">
      <c r="A557" s="164" t="s">
        <v>121</v>
      </c>
      <c r="B557" s="165" t="s">
        <v>238</v>
      </c>
      <c r="C557" s="212">
        <f t="shared" si="81"/>
        <v>20</v>
      </c>
      <c r="D557" s="212">
        <v>20</v>
      </c>
      <c r="E557" s="212">
        <v>0</v>
      </c>
      <c r="F557" s="212">
        <v>0</v>
      </c>
      <c r="G557" s="212">
        <v>0</v>
      </c>
      <c r="H557" s="212">
        <v>0</v>
      </c>
      <c r="I557" s="212">
        <v>0</v>
      </c>
      <c r="J557" s="212">
        <v>0</v>
      </c>
    </row>
    <row r="558" spans="1:10" ht="45.75" customHeight="1" x14ac:dyDescent="0.2">
      <c r="A558" s="210" t="s">
        <v>155</v>
      </c>
      <c r="B558" s="218" t="s">
        <v>156</v>
      </c>
      <c r="C558" s="212">
        <f>SUM(D558)</f>
        <v>2500</v>
      </c>
      <c r="D558" s="212">
        <v>2500</v>
      </c>
      <c r="E558" s="212">
        <v>0</v>
      </c>
      <c r="F558" s="212">
        <v>0</v>
      </c>
      <c r="G558" s="212">
        <v>0</v>
      </c>
      <c r="H558" s="212">
        <v>0</v>
      </c>
      <c r="I558" s="212">
        <v>0</v>
      </c>
      <c r="J558" s="212">
        <v>0</v>
      </c>
    </row>
    <row r="559" spans="1:10" ht="55.5" customHeight="1" x14ac:dyDescent="0.2">
      <c r="A559" s="210" t="s">
        <v>138</v>
      </c>
      <c r="B559" s="218" t="s">
        <v>157</v>
      </c>
      <c r="C559" s="212">
        <f>SUM(F559)</f>
        <v>26537414.07</v>
      </c>
      <c r="D559" s="212">
        <v>0</v>
      </c>
      <c r="E559" s="212">
        <v>0</v>
      </c>
      <c r="F559" s="212">
        <f>SUM(J559)</f>
        <v>26537414.07</v>
      </c>
      <c r="G559" s="212">
        <v>0</v>
      </c>
      <c r="H559" s="212">
        <v>0</v>
      </c>
      <c r="I559" s="212">
        <v>0</v>
      </c>
      <c r="J559" s="212">
        <f>12965353.65+425000+13147060.42</f>
        <v>26537414.07</v>
      </c>
    </row>
    <row r="560" spans="1:10" ht="47.25" customHeight="1" x14ac:dyDescent="0.2">
      <c r="A560" s="210" t="s">
        <v>203</v>
      </c>
      <c r="B560" s="139" t="s">
        <v>209</v>
      </c>
      <c r="C560" s="212">
        <f>SUM(F560)</f>
        <v>12000000</v>
      </c>
      <c r="D560" s="212">
        <v>0</v>
      </c>
      <c r="E560" s="212">
        <v>0</v>
      </c>
      <c r="F560" s="212">
        <f>SUM(G560)</f>
        <v>12000000</v>
      </c>
      <c r="G560" s="212">
        <v>12000000</v>
      </c>
      <c r="H560" s="212">
        <v>0</v>
      </c>
      <c r="I560" s="212">
        <v>0</v>
      </c>
      <c r="J560" s="212">
        <v>0</v>
      </c>
    </row>
    <row r="561" spans="1:10" ht="11.25" customHeight="1" x14ac:dyDescent="0.2">
      <c r="A561" s="116" t="s">
        <v>158</v>
      </c>
      <c r="B561" s="121" t="s">
        <v>424</v>
      </c>
      <c r="C561" s="212"/>
      <c r="D561" s="212"/>
      <c r="E561" s="212"/>
      <c r="F561" s="212"/>
      <c r="G561" s="212"/>
      <c r="H561" s="212"/>
      <c r="I561" s="212"/>
      <c r="J561" s="212"/>
    </row>
    <row r="562" spans="1:10" ht="11.25" customHeight="1" x14ac:dyDescent="0.2">
      <c r="A562" s="116"/>
      <c r="B562" s="121" t="s">
        <v>160</v>
      </c>
      <c r="C562" s="212"/>
      <c r="D562" s="212"/>
      <c r="E562" s="212"/>
      <c r="F562" s="212"/>
      <c r="G562" s="212"/>
      <c r="H562" s="212"/>
      <c r="I562" s="212"/>
      <c r="J562" s="212"/>
    </row>
    <row r="563" spans="1:10" ht="11.25" customHeight="1" x14ac:dyDescent="0.2">
      <c r="A563" s="116"/>
      <c r="B563" s="121" t="s">
        <v>161</v>
      </c>
      <c r="C563" s="212"/>
      <c r="D563" s="212"/>
      <c r="E563" s="212"/>
      <c r="F563" s="212"/>
      <c r="G563" s="212"/>
      <c r="H563" s="212"/>
      <c r="I563" s="212"/>
      <c r="J563" s="212"/>
    </row>
    <row r="564" spans="1:10" ht="11.25" customHeight="1" x14ac:dyDescent="0.2">
      <c r="A564" s="116"/>
      <c r="B564" s="121" t="s">
        <v>162</v>
      </c>
      <c r="C564" s="212">
        <f>SUM(F564)</f>
        <v>3967578.41</v>
      </c>
      <c r="D564" s="212">
        <v>0</v>
      </c>
      <c r="E564" s="212">
        <v>0</v>
      </c>
      <c r="F564" s="212">
        <f>SUM(G564)</f>
        <v>3967578.41</v>
      </c>
      <c r="G564" s="212">
        <v>3967578.41</v>
      </c>
      <c r="H564" s="212">
        <v>0</v>
      </c>
      <c r="I564" s="212">
        <v>0</v>
      </c>
      <c r="J564" s="212">
        <v>0</v>
      </c>
    </row>
    <row r="565" spans="1:10" ht="11.25" customHeight="1" x14ac:dyDescent="0.2">
      <c r="A565" s="164" t="s">
        <v>425</v>
      </c>
      <c r="B565" s="217" t="s">
        <v>426</v>
      </c>
      <c r="C565" s="212"/>
      <c r="D565" s="212"/>
      <c r="E565" s="212"/>
      <c r="F565" s="212"/>
      <c r="G565" s="212"/>
      <c r="H565" s="212"/>
      <c r="I565" s="212"/>
      <c r="J565" s="212"/>
    </row>
    <row r="566" spans="1:10" ht="11.25" customHeight="1" x14ac:dyDescent="0.2">
      <c r="A566" s="216"/>
      <c r="B566" s="217" t="s">
        <v>427</v>
      </c>
      <c r="C566" s="212">
        <f>SUM(F566)</f>
        <v>30000000</v>
      </c>
      <c r="D566" s="212">
        <v>0</v>
      </c>
      <c r="E566" s="212">
        <v>0</v>
      </c>
      <c r="F566" s="212">
        <f>SUM(G566)</f>
        <v>30000000</v>
      </c>
      <c r="G566" s="212">
        <v>30000000</v>
      </c>
      <c r="H566" s="212">
        <v>0</v>
      </c>
      <c r="I566" s="212">
        <v>0</v>
      </c>
      <c r="J566" s="212">
        <v>0</v>
      </c>
    </row>
    <row r="567" spans="1:10" s="141" customFormat="1" ht="11.25" customHeight="1" x14ac:dyDescent="0.2">
      <c r="A567" s="207" t="s">
        <v>170</v>
      </c>
      <c r="B567" s="208" t="s">
        <v>96</v>
      </c>
      <c r="C567" s="209">
        <f t="shared" ref="C567:J567" si="82">SUM(C568)</f>
        <v>500</v>
      </c>
      <c r="D567" s="209">
        <f t="shared" si="82"/>
        <v>500</v>
      </c>
      <c r="E567" s="209">
        <f t="shared" si="82"/>
        <v>0</v>
      </c>
      <c r="F567" s="209">
        <f t="shared" si="82"/>
        <v>0</v>
      </c>
      <c r="G567" s="209">
        <f t="shared" si="82"/>
        <v>0</v>
      </c>
      <c r="H567" s="209">
        <f t="shared" si="82"/>
        <v>0</v>
      </c>
      <c r="I567" s="209">
        <f t="shared" si="82"/>
        <v>0</v>
      </c>
      <c r="J567" s="209">
        <f t="shared" si="82"/>
        <v>0</v>
      </c>
    </row>
    <row r="568" spans="1:10" ht="11.25" customHeight="1" x14ac:dyDescent="0.2">
      <c r="A568" s="164" t="s">
        <v>97</v>
      </c>
      <c r="B568" s="215" t="s">
        <v>98</v>
      </c>
      <c r="C568" s="212">
        <f>SUM(D568)</f>
        <v>500</v>
      </c>
      <c r="D568" s="212">
        <v>500</v>
      </c>
      <c r="E568" s="212">
        <v>0</v>
      </c>
      <c r="F568" s="212">
        <v>0</v>
      </c>
      <c r="G568" s="212">
        <v>0</v>
      </c>
      <c r="H568" s="212">
        <v>0</v>
      </c>
      <c r="I568" s="212">
        <v>0</v>
      </c>
      <c r="J568" s="212">
        <v>0</v>
      </c>
    </row>
    <row r="569" spans="1:10" ht="11.25" customHeight="1" thickBot="1" x14ac:dyDescent="0.25">
      <c r="A569" s="204" t="s">
        <v>30</v>
      </c>
      <c r="B569" s="219" t="s">
        <v>31</v>
      </c>
      <c r="C569" s="206">
        <f t="shared" ref="C569:J569" si="83">C570</f>
        <v>400000</v>
      </c>
      <c r="D569" s="206">
        <f t="shared" si="83"/>
        <v>400000</v>
      </c>
      <c r="E569" s="206">
        <f t="shared" si="83"/>
        <v>0</v>
      </c>
      <c r="F569" s="206">
        <f t="shared" si="83"/>
        <v>0</v>
      </c>
      <c r="G569" s="206">
        <f t="shared" si="83"/>
        <v>0</v>
      </c>
      <c r="H569" s="206">
        <f t="shared" si="83"/>
        <v>0</v>
      </c>
      <c r="I569" s="206">
        <f t="shared" si="83"/>
        <v>0</v>
      </c>
      <c r="J569" s="206">
        <f t="shared" si="83"/>
        <v>0</v>
      </c>
    </row>
    <row r="570" spans="1:10" ht="11.25" customHeight="1" thickTop="1" x14ac:dyDescent="0.2">
      <c r="A570" s="207" t="s">
        <v>428</v>
      </c>
      <c r="B570" s="182" t="s">
        <v>429</v>
      </c>
      <c r="C570" s="209">
        <f t="shared" ref="C570:J570" si="84">SUM(C571:C572)</f>
        <v>400000</v>
      </c>
      <c r="D570" s="209">
        <f t="shared" si="84"/>
        <v>400000</v>
      </c>
      <c r="E570" s="220">
        <f t="shared" si="84"/>
        <v>0</v>
      </c>
      <c r="F570" s="220">
        <f t="shared" si="84"/>
        <v>0</v>
      </c>
      <c r="G570" s="220">
        <f t="shared" si="84"/>
        <v>0</v>
      </c>
      <c r="H570" s="220">
        <f t="shared" si="84"/>
        <v>0</v>
      </c>
      <c r="I570" s="220">
        <f t="shared" si="84"/>
        <v>0</v>
      </c>
      <c r="J570" s="220">
        <f t="shared" si="84"/>
        <v>0</v>
      </c>
    </row>
    <row r="571" spans="1:10" ht="11.25" customHeight="1" x14ac:dyDescent="0.2">
      <c r="A571" s="164" t="s">
        <v>113</v>
      </c>
      <c r="B571" s="215" t="s">
        <v>114</v>
      </c>
      <c r="C571" s="212">
        <f>SUM(D571:F571)</f>
        <v>399000</v>
      </c>
      <c r="D571" s="221">
        <f>174500+224500</f>
        <v>399000</v>
      </c>
      <c r="E571" s="222">
        <v>0</v>
      </c>
      <c r="F571" s="222">
        <v>0</v>
      </c>
      <c r="G571" s="222">
        <v>0</v>
      </c>
      <c r="H571" s="222">
        <v>0</v>
      </c>
      <c r="I571" s="222">
        <v>0</v>
      </c>
      <c r="J571" s="222">
        <v>0</v>
      </c>
    </row>
    <row r="572" spans="1:10" ht="11.25" customHeight="1" x14ac:dyDescent="0.2">
      <c r="A572" s="223" t="s">
        <v>115</v>
      </c>
      <c r="B572" s="208" t="s">
        <v>116</v>
      </c>
      <c r="C572" s="209">
        <f>SUM(D572:F572)</f>
        <v>1000</v>
      </c>
      <c r="D572" s="224">
        <f>500+500</f>
        <v>1000</v>
      </c>
      <c r="E572" s="225">
        <v>0</v>
      </c>
      <c r="F572" s="225">
        <v>0</v>
      </c>
      <c r="G572" s="225">
        <v>0</v>
      </c>
      <c r="H572" s="225">
        <v>0</v>
      </c>
      <c r="I572" s="225">
        <v>0</v>
      </c>
      <c r="J572" s="225">
        <v>0</v>
      </c>
    </row>
    <row r="573" spans="1:10" s="228" customFormat="1" ht="11.25" customHeight="1" thickBot="1" x14ac:dyDescent="0.25">
      <c r="A573" s="204" t="s">
        <v>32</v>
      </c>
      <c r="B573" s="226" t="s">
        <v>33</v>
      </c>
      <c r="C573" s="227">
        <f t="shared" ref="C573:J573" si="85">SUM(C574,C579)</f>
        <v>561393.73</v>
      </c>
      <c r="D573" s="227">
        <f t="shared" si="85"/>
        <v>15100</v>
      </c>
      <c r="E573" s="227">
        <f t="shared" si="85"/>
        <v>0</v>
      </c>
      <c r="F573" s="227">
        <f t="shared" si="85"/>
        <v>546293.73</v>
      </c>
      <c r="G573" s="227">
        <f t="shared" si="85"/>
        <v>0</v>
      </c>
      <c r="H573" s="227">
        <f t="shared" si="85"/>
        <v>0</v>
      </c>
      <c r="I573" s="227">
        <f t="shared" si="85"/>
        <v>0</v>
      </c>
      <c r="J573" s="227">
        <f t="shared" si="85"/>
        <v>546293.73</v>
      </c>
    </row>
    <row r="574" spans="1:10" ht="11.25" customHeight="1" thickTop="1" x14ac:dyDescent="0.2">
      <c r="A574" s="207" t="s">
        <v>430</v>
      </c>
      <c r="B574" s="182" t="s">
        <v>431</v>
      </c>
      <c r="C574" s="209">
        <f t="shared" ref="C574:J574" si="86">SUM(C575:C578)</f>
        <v>15100</v>
      </c>
      <c r="D574" s="209">
        <f t="shared" si="86"/>
        <v>15100</v>
      </c>
      <c r="E574" s="209">
        <f t="shared" si="86"/>
        <v>0</v>
      </c>
      <c r="F574" s="209">
        <f t="shared" si="86"/>
        <v>0</v>
      </c>
      <c r="G574" s="209">
        <f t="shared" si="86"/>
        <v>0</v>
      </c>
      <c r="H574" s="209">
        <f t="shared" si="86"/>
        <v>0</v>
      </c>
      <c r="I574" s="209">
        <f t="shared" si="86"/>
        <v>0</v>
      </c>
      <c r="J574" s="209">
        <f t="shared" si="86"/>
        <v>0</v>
      </c>
    </row>
    <row r="575" spans="1:10" ht="11.25" customHeight="1" x14ac:dyDescent="0.2">
      <c r="A575" s="164" t="s">
        <v>152</v>
      </c>
      <c r="B575" s="215" t="s">
        <v>432</v>
      </c>
      <c r="C575" s="212"/>
      <c r="D575" s="221"/>
      <c r="E575" s="221"/>
      <c r="F575" s="221"/>
      <c r="G575" s="221"/>
      <c r="H575" s="221"/>
      <c r="I575" s="221"/>
      <c r="J575" s="221"/>
    </row>
    <row r="576" spans="1:10" ht="11.25" customHeight="1" x14ac:dyDescent="0.2">
      <c r="A576" s="164"/>
      <c r="B576" s="215" t="s">
        <v>433</v>
      </c>
      <c r="C576" s="212">
        <f>SUM(D576:F576)</f>
        <v>100</v>
      </c>
      <c r="D576" s="221">
        <v>100</v>
      </c>
      <c r="E576" s="221">
        <v>0</v>
      </c>
      <c r="F576" s="221">
        <v>0</v>
      </c>
      <c r="G576" s="221">
        <v>0</v>
      </c>
      <c r="H576" s="221">
        <v>0</v>
      </c>
      <c r="I576" s="221">
        <v>0</v>
      </c>
      <c r="J576" s="221">
        <v>0</v>
      </c>
    </row>
    <row r="577" spans="1:10" ht="11.25" customHeight="1" x14ac:dyDescent="0.2">
      <c r="A577" s="164" t="s">
        <v>97</v>
      </c>
      <c r="B577" s="215" t="s">
        <v>98</v>
      </c>
      <c r="C577" s="212">
        <f>SUM(D577:F577)</f>
        <v>5000</v>
      </c>
      <c r="D577" s="221">
        <v>5000</v>
      </c>
      <c r="E577" s="221">
        <v>0</v>
      </c>
      <c r="F577" s="221">
        <v>0</v>
      </c>
      <c r="G577" s="221">
        <v>0</v>
      </c>
      <c r="H577" s="221">
        <v>0</v>
      </c>
      <c r="I577" s="221">
        <v>0</v>
      </c>
      <c r="J577" s="221">
        <v>0</v>
      </c>
    </row>
    <row r="578" spans="1:10" ht="11.25" customHeight="1" x14ac:dyDescent="0.2">
      <c r="A578" s="164" t="s">
        <v>121</v>
      </c>
      <c r="B578" s="217" t="s">
        <v>122</v>
      </c>
      <c r="C578" s="212">
        <f>SUM(D578:F578)</f>
        <v>10000</v>
      </c>
      <c r="D578" s="221">
        <v>10000</v>
      </c>
      <c r="E578" s="221">
        <v>0</v>
      </c>
      <c r="F578" s="221">
        <v>0</v>
      </c>
      <c r="G578" s="221">
        <v>0</v>
      </c>
      <c r="H578" s="221">
        <v>0</v>
      </c>
      <c r="I578" s="221">
        <v>0</v>
      </c>
      <c r="J578" s="221">
        <v>0</v>
      </c>
    </row>
    <row r="579" spans="1:10" ht="11.25" customHeight="1" x14ac:dyDescent="0.2">
      <c r="A579" s="207" t="s">
        <v>227</v>
      </c>
      <c r="B579" s="182" t="s">
        <v>228</v>
      </c>
      <c r="C579" s="209">
        <f t="shared" ref="C579:J579" si="87">SUM(C580:C589)</f>
        <v>546293.73</v>
      </c>
      <c r="D579" s="209">
        <f t="shared" si="87"/>
        <v>0</v>
      </c>
      <c r="E579" s="209">
        <f t="shared" si="87"/>
        <v>0</v>
      </c>
      <c r="F579" s="209">
        <f t="shared" si="87"/>
        <v>546293.73</v>
      </c>
      <c r="G579" s="209">
        <f t="shared" si="87"/>
        <v>0</v>
      </c>
      <c r="H579" s="209">
        <f t="shared" si="87"/>
        <v>0</v>
      </c>
      <c r="I579" s="209">
        <f t="shared" si="87"/>
        <v>0</v>
      </c>
      <c r="J579" s="209">
        <f t="shared" si="87"/>
        <v>546293.73</v>
      </c>
    </row>
    <row r="580" spans="1:10" ht="11.25" customHeight="1" x14ac:dyDescent="0.2">
      <c r="A580" s="210" t="s">
        <v>132</v>
      </c>
      <c r="B580" s="215" t="s">
        <v>133</v>
      </c>
      <c r="C580" s="212"/>
      <c r="D580" s="221"/>
      <c r="E580" s="221"/>
      <c r="F580" s="221"/>
      <c r="G580" s="221"/>
      <c r="H580" s="221"/>
      <c r="I580" s="221"/>
      <c r="J580" s="221"/>
    </row>
    <row r="581" spans="1:10" ht="11.25" customHeight="1" x14ac:dyDescent="0.2">
      <c r="A581" s="210"/>
      <c r="B581" s="215" t="s">
        <v>134</v>
      </c>
      <c r="C581" s="212"/>
      <c r="D581" s="221"/>
      <c r="E581" s="221"/>
      <c r="F581" s="221"/>
      <c r="G581" s="221"/>
      <c r="H581" s="221"/>
      <c r="I581" s="221"/>
      <c r="J581" s="221"/>
    </row>
    <row r="582" spans="1:10" ht="11.25" customHeight="1" x14ac:dyDescent="0.2">
      <c r="A582" s="210"/>
      <c r="B582" s="215" t="s">
        <v>135</v>
      </c>
      <c r="C582" s="212"/>
      <c r="D582" s="221"/>
      <c r="E582" s="221"/>
      <c r="F582" s="221"/>
      <c r="G582" s="221"/>
      <c r="H582" s="221"/>
      <c r="I582" s="221"/>
      <c r="J582" s="221"/>
    </row>
    <row r="583" spans="1:10" ht="11.25" customHeight="1" x14ac:dyDescent="0.2">
      <c r="A583" s="210"/>
      <c r="B583" s="215" t="s">
        <v>136</v>
      </c>
      <c r="C583" s="212"/>
      <c r="D583" s="221"/>
      <c r="E583" s="221"/>
      <c r="F583" s="221"/>
      <c r="G583" s="221"/>
      <c r="H583" s="221"/>
      <c r="I583" s="221"/>
      <c r="J583" s="221"/>
    </row>
    <row r="584" spans="1:10" ht="11.25" customHeight="1" x14ac:dyDescent="0.2">
      <c r="A584" s="210"/>
      <c r="B584" s="215" t="s">
        <v>137</v>
      </c>
      <c r="C584" s="212">
        <f>SUM(F584)</f>
        <v>449888.95</v>
      </c>
      <c r="D584" s="221">
        <v>0</v>
      </c>
      <c r="E584" s="221">
        <v>0</v>
      </c>
      <c r="F584" s="221">
        <f>SUM(G584:J584)</f>
        <v>449888.95</v>
      </c>
      <c r="G584" s="221">
        <v>0</v>
      </c>
      <c r="H584" s="221">
        <v>0</v>
      </c>
      <c r="I584" s="221">
        <v>0</v>
      </c>
      <c r="J584" s="221">
        <v>449888.95</v>
      </c>
    </row>
    <row r="585" spans="1:10" ht="11.25" customHeight="1" x14ac:dyDescent="0.2">
      <c r="A585" s="164" t="s">
        <v>434</v>
      </c>
      <c r="B585" s="217" t="s">
        <v>139</v>
      </c>
      <c r="C585" s="212"/>
      <c r="D585" s="221"/>
      <c r="E585" s="221"/>
      <c r="F585" s="221"/>
      <c r="G585" s="221"/>
      <c r="H585" s="221"/>
      <c r="I585" s="221"/>
      <c r="J585" s="221"/>
    </row>
    <row r="586" spans="1:10" ht="11.25" customHeight="1" x14ac:dyDescent="0.2">
      <c r="A586" s="164"/>
      <c r="B586" s="217" t="s">
        <v>140</v>
      </c>
      <c r="C586" s="212"/>
      <c r="D586" s="221"/>
      <c r="E586" s="221"/>
      <c r="F586" s="221"/>
      <c r="G586" s="221"/>
      <c r="H586" s="221"/>
      <c r="I586" s="221"/>
      <c r="J586" s="221"/>
    </row>
    <row r="587" spans="1:10" ht="11.25" customHeight="1" x14ac:dyDescent="0.2">
      <c r="A587" s="164"/>
      <c r="B587" s="217" t="s">
        <v>141</v>
      </c>
      <c r="C587" s="212"/>
      <c r="D587" s="221"/>
      <c r="E587" s="221"/>
      <c r="F587" s="221"/>
      <c r="G587" s="221"/>
      <c r="H587" s="221"/>
      <c r="I587" s="221"/>
      <c r="J587" s="221"/>
    </row>
    <row r="588" spans="1:10" ht="11.25" customHeight="1" x14ac:dyDescent="0.2">
      <c r="A588" s="164"/>
      <c r="B588" s="217" t="s">
        <v>142</v>
      </c>
      <c r="C588" s="212"/>
      <c r="D588" s="221"/>
      <c r="E588" s="221"/>
      <c r="F588" s="221"/>
      <c r="G588" s="221"/>
      <c r="H588" s="221"/>
      <c r="I588" s="221"/>
      <c r="J588" s="221"/>
    </row>
    <row r="589" spans="1:10" ht="11.25" customHeight="1" x14ac:dyDescent="0.2">
      <c r="A589" s="164"/>
      <c r="B589" s="217" t="s">
        <v>143</v>
      </c>
      <c r="C589" s="212">
        <f>SUM(F589)</f>
        <v>96404.78</v>
      </c>
      <c r="D589" s="221">
        <v>0</v>
      </c>
      <c r="E589" s="221">
        <v>0</v>
      </c>
      <c r="F589" s="221">
        <f>SUM(G589:J589)</f>
        <v>96404.78</v>
      </c>
      <c r="G589" s="221">
        <v>0</v>
      </c>
      <c r="H589" s="221">
        <v>0</v>
      </c>
      <c r="I589" s="221">
        <v>0</v>
      </c>
      <c r="J589" s="221">
        <v>96404.78</v>
      </c>
    </row>
    <row r="590" spans="1:10" ht="11.25" customHeight="1" thickBot="1" x14ac:dyDescent="0.25">
      <c r="A590" s="122" t="s">
        <v>37</v>
      </c>
      <c r="B590" s="111" t="s">
        <v>435</v>
      </c>
      <c r="C590" s="227">
        <f>SUM(C591)</f>
        <v>80000</v>
      </c>
      <c r="D590" s="227">
        <f t="shared" ref="D590:J590" si="88">SUM(D591)</f>
        <v>80000</v>
      </c>
      <c r="E590" s="227">
        <f t="shared" si="88"/>
        <v>0</v>
      </c>
      <c r="F590" s="227">
        <f t="shared" si="88"/>
        <v>0</v>
      </c>
      <c r="G590" s="227">
        <f t="shared" si="88"/>
        <v>0</v>
      </c>
      <c r="H590" s="227">
        <f t="shared" si="88"/>
        <v>0</v>
      </c>
      <c r="I590" s="227">
        <f t="shared" si="88"/>
        <v>0</v>
      </c>
      <c r="J590" s="227">
        <f t="shared" si="88"/>
        <v>0</v>
      </c>
    </row>
    <row r="591" spans="1:10" ht="11.25" customHeight="1" thickTop="1" x14ac:dyDescent="0.2">
      <c r="A591" s="113" t="s">
        <v>436</v>
      </c>
      <c r="B591" s="114" t="s">
        <v>437</v>
      </c>
      <c r="C591" s="229">
        <f>SUM(C594)</f>
        <v>80000</v>
      </c>
      <c r="D591" s="229">
        <f t="shared" ref="D591:J591" si="89">SUM(D594)</f>
        <v>80000</v>
      </c>
      <c r="E591" s="229">
        <f t="shared" si="89"/>
        <v>0</v>
      </c>
      <c r="F591" s="229">
        <f t="shared" si="89"/>
        <v>0</v>
      </c>
      <c r="G591" s="229">
        <f t="shared" si="89"/>
        <v>0</v>
      </c>
      <c r="H591" s="229">
        <f t="shared" si="89"/>
        <v>0</v>
      </c>
      <c r="I591" s="229">
        <f t="shared" si="89"/>
        <v>0</v>
      </c>
      <c r="J591" s="229">
        <f t="shared" si="89"/>
        <v>0</v>
      </c>
    </row>
    <row r="592" spans="1:10" ht="11.25" customHeight="1" x14ac:dyDescent="0.2">
      <c r="A592" s="133" t="s">
        <v>438</v>
      </c>
      <c r="B592" s="128" t="s">
        <v>439</v>
      </c>
      <c r="C592" s="212"/>
      <c r="D592" s="221"/>
      <c r="E592" s="221"/>
      <c r="F592" s="221"/>
      <c r="G592" s="221"/>
      <c r="H592" s="221"/>
      <c r="I592" s="221"/>
      <c r="J592" s="221"/>
    </row>
    <row r="593" spans="1:10" ht="11.25" customHeight="1" x14ac:dyDescent="0.2">
      <c r="A593" s="133"/>
      <c r="B593" s="128" t="s">
        <v>440</v>
      </c>
      <c r="C593" s="212"/>
      <c r="D593" s="221"/>
      <c r="E593" s="221"/>
      <c r="F593" s="221"/>
      <c r="G593" s="221"/>
      <c r="H593" s="221"/>
      <c r="I593" s="221"/>
      <c r="J593" s="221"/>
    </row>
    <row r="594" spans="1:10" ht="11.25" customHeight="1" x14ac:dyDescent="0.2">
      <c r="A594" s="133"/>
      <c r="B594" s="128" t="s">
        <v>441</v>
      </c>
      <c r="C594" s="212">
        <f>SUM(D594)</f>
        <v>80000</v>
      </c>
      <c r="D594" s="221">
        <v>80000</v>
      </c>
      <c r="E594" s="221">
        <v>0</v>
      </c>
      <c r="F594" s="221">
        <v>0</v>
      </c>
      <c r="G594" s="221">
        <v>0</v>
      </c>
      <c r="H594" s="221">
        <v>0</v>
      </c>
      <c r="I594" s="221">
        <v>0</v>
      </c>
      <c r="J594" s="221">
        <v>0</v>
      </c>
    </row>
    <row r="595" spans="1:10" s="157" customFormat="1" ht="11.25" customHeight="1" x14ac:dyDescent="0.2">
      <c r="A595" s="230" t="s">
        <v>39</v>
      </c>
      <c r="B595" s="231" t="s">
        <v>244</v>
      </c>
      <c r="C595" s="231"/>
      <c r="D595" s="231"/>
      <c r="E595" s="231"/>
      <c r="F595" s="231"/>
      <c r="G595" s="231"/>
      <c r="H595" s="231"/>
      <c r="I595" s="231"/>
      <c r="J595" s="165"/>
    </row>
    <row r="596" spans="1:10" ht="11.25" customHeight="1" thickBot="1" x14ac:dyDescent="0.25">
      <c r="A596" s="232"/>
      <c r="B596" s="233" t="s">
        <v>41</v>
      </c>
      <c r="C596" s="206">
        <f t="shared" ref="C596:J596" si="90">SUM(C597,C730,)</f>
        <v>1100</v>
      </c>
      <c r="D596" s="206">
        <f t="shared" si="90"/>
        <v>1100</v>
      </c>
      <c r="E596" s="206">
        <f t="shared" si="90"/>
        <v>0</v>
      </c>
      <c r="F596" s="206">
        <f t="shared" si="90"/>
        <v>0</v>
      </c>
      <c r="G596" s="206">
        <f t="shared" si="90"/>
        <v>0</v>
      </c>
      <c r="H596" s="206">
        <f t="shared" si="90"/>
        <v>0</v>
      </c>
      <c r="I596" s="206">
        <f t="shared" si="90"/>
        <v>0</v>
      </c>
      <c r="J596" s="206">
        <f t="shared" si="90"/>
        <v>0</v>
      </c>
    </row>
    <row r="597" spans="1:10" ht="11.25" customHeight="1" thickTop="1" x14ac:dyDescent="0.2">
      <c r="A597" s="207" t="s">
        <v>442</v>
      </c>
      <c r="B597" s="234" t="s">
        <v>443</v>
      </c>
      <c r="C597" s="229">
        <f t="shared" ref="C597:J597" si="91">SUM(C600:C600)</f>
        <v>1100</v>
      </c>
      <c r="D597" s="229">
        <f t="shared" si="91"/>
        <v>1100</v>
      </c>
      <c r="E597" s="229">
        <f t="shared" si="91"/>
        <v>0</v>
      </c>
      <c r="F597" s="229">
        <f t="shared" si="91"/>
        <v>0</v>
      </c>
      <c r="G597" s="229">
        <f t="shared" si="91"/>
        <v>0</v>
      </c>
      <c r="H597" s="229">
        <f t="shared" si="91"/>
        <v>0</v>
      </c>
      <c r="I597" s="229">
        <f t="shared" si="91"/>
        <v>0</v>
      </c>
      <c r="J597" s="229">
        <f t="shared" si="91"/>
        <v>0</v>
      </c>
    </row>
    <row r="598" spans="1:10" ht="11.25" customHeight="1" x14ac:dyDescent="0.2">
      <c r="A598" s="164" t="s">
        <v>190</v>
      </c>
      <c r="B598" s="215" t="s">
        <v>191</v>
      </c>
      <c r="C598" s="221"/>
      <c r="D598" s="221"/>
      <c r="E598" s="221"/>
      <c r="F598" s="215"/>
      <c r="G598" s="215"/>
      <c r="H598" s="215"/>
      <c r="I598" s="215"/>
      <c r="J598" s="215"/>
    </row>
    <row r="599" spans="1:10" ht="11.25" customHeight="1" x14ac:dyDescent="0.2">
      <c r="A599" s="230"/>
      <c r="B599" s="215" t="s">
        <v>226</v>
      </c>
      <c r="C599" s="221"/>
      <c r="D599" s="221"/>
      <c r="E599" s="221"/>
      <c r="F599" s="215"/>
      <c r="G599" s="215"/>
      <c r="H599" s="215"/>
      <c r="I599" s="215"/>
      <c r="J599" s="215"/>
    </row>
    <row r="600" spans="1:10" ht="11.25" customHeight="1" x14ac:dyDescent="0.2">
      <c r="A600" s="230"/>
      <c r="B600" s="215" t="s">
        <v>193</v>
      </c>
      <c r="C600" s="212">
        <f>SUM(D600:F600)</f>
        <v>1100</v>
      </c>
      <c r="D600" s="221">
        <v>1100</v>
      </c>
      <c r="E600" s="221">
        <v>0</v>
      </c>
      <c r="F600" s="221">
        <v>0</v>
      </c>
      <c r="G600" s="221">
        <v>0</v>
      </c>
      <c r="H600" s="221">
        <v>0</v>
      </c>
      <c r="I600" s="221">
        <v>0</v>
      </c>
      <c r="J600" s="221">
        <v>0</v>
      </c>
    </row>
    <row r="601" spans="1:10" s="157" customFormat="1" ht="11.25" customHeight="1" thickBot="1" x14ac:dyDescent="0.25">
      <c r="A601" s="204" t="s">
        <v>50</v>
      </c>
      <c r="B601" s="233" t="s">
        <v>51</v>
      </c>
      <c r="C601" s="206">
        <f>C602+C633+C604+C612+C615+C618+C621+C631+C627</f>
        <v>3985739.9500000007</v>
      </c>
      <c r="D601" s="206">
        <f t="shared" ref="D601:J601" si="92">D602+D633+D604+D612+D615+D618+D621+D631+D627</f>
        <v>3983739.9500000007</v>
      </c>
      <c r="E601" s="206">
        <f t="shared" si="92"/>
        <v>2486046.35</v>
      </c>
      <c r="F601" s="206">
        <f t="shared" si="92"/>
        <v>2000</v>
      </c>
      <c r="G601" s="206">
        <f t="shared" si="92"/>
        <v>0</v>
      </c>
      <c r="H601" s="206">
        <f t="shared" si="92"/>
        <v>2000</v>
      </c>
      <c r="I601" s="206">
        <f t="shared" si="92"/>
        <v>0</v>
      </c>
      <c r="J601" s="206">
        <f t="shared" si="92"/>
        <v>0</v>
      </c>
    </row>
    <row r="602" spans="1:10" ht="11.25" customHeight="1" thickTop="1" x14ac:dyDescent="0.2">
      <c r="A602" s="207" t="s">
        <v>444</v>
      </c>
      <c r="B602" s="182" t="s">
        <v>445</v>
      </c>
      <c r="C602" s="224">
        <f t="shared" ref="C602:J602" si="93">C603</f>
        <v>4000</v>
      </c>
      <c r="D602" s="224">
        <f t="shared" si="93"/>
        <v>4000</v>
      </c>
      <c r="E602" s="224">
        <f t="shared" si="93"/>
        <v>0</v>
      </c>
      <c r="F602" s="224">
        <f t="shared" si="93"/>
        <v>0</v>
      </c>
      <c r="G602" s="224">
        <f t="shared" si="93"/>
        <v>0</v>
      </c>
      <c r="H602" s="224">
        <f t="shared" si="93"/>
        <v>0</v>
      </c>
      <c r="I602" s="224">
        <f t="shared" si="93"/>
        <v>0</v>
      </c>
      <c r="J602" s="224">
        <f t="shared" si="93"/>
        <v>0</v>
      </c>
    </row>
    <row r="603" spans="1:10" ht="11.25" customHeight="1" x14ac:dyDescent="0.2">
      <c r="A603" s="164" t="s">
        <v>115</v>
      </c>
      <c r="B603" s="215" t="s">
        <v>116</v>
      </c>
      <c r="C603" s="212">
        <f>SUM(D603:F603)</f>
        <v>4000</v>
      </c>
      <c r="D603" s="221">
        <v>4000</v>
      </c>
      <c r="E603" s="221">
        <v>0</v>
      </c>
      <c r="F603" s="221">
        <v>0</v>
      </c>
      <c r="G603" s="221">
        <v>0</v>
      </c>
      <c r="H603" s="221">
        <v>0</v>
      </c>
      <c r="I603" s="221">
        <v>0</v>
      </c>
      <c r="J603" s="221">
        <v>0</v>
      </c>
    </row>
    <row r="604" spans="1:10" s="157" customFormat="1" ht="11.25" customHeight="1" x14ac:dyDescent="0.2">
      <c r="A604" s="207" t="s">
        <v>446</v>
      </c>
      <c r="B604" s="182" t="s">
        <v>447</v>
      </c>
      <c r="C604" s="209">
        <f t="shared" ref="C604:J604" si="94">SUM(C605:C611)</f>
        <v>47843</v>
      </c>
      <c r="D604" s="209">
        <f t="shared" si="94"/>
        <v>47843</v>
      </c>
      <c r="E604" s="209">
        <f t="shared" si="94"/>
        <v>0</v>
      </c>
      <c r="F604" s="209">
        <f t="shared" si="94"/>
        <v>0</v>
      </c>
      <c r="G604" s="209">
        <f t="shared" si="94"/>
        <v>0</v>
      </c>
      <c r="H604" s="209">
        <f t="shared" si="94"/>
        <v>0</v>
      </c>
      <c r="I604" s="209">
        <f t="shared" si="94"/>
        <v>0</v>
      </c>
      <c r="J604" s="209">
        <f t="shared" si="94"/>
        <v>0</v>
      </c>
    </row>
    <row r="605" spans="1:10" s="157" customFormat="1" ht="11.25" customHeight="1" x14ac:dyDescent="0.2">
      <c r="A605" s="164" t="s">
        <v>99</v>
      </c>
      <c r="B605" s="215" t="s">
        <v>172</v>
      </c>
      <c r="C605" s="221"/>
      <c r="D605" s="221"/>
      <c r="E605" s="221"/>
      <c r="F605" s="221"/>
      <c r="G605" s="221"/>
      <c r="H605" s="221"/>
      <c r="I605" s="221"/>
      <c r="J605" s="221"/>
    </row>
    <row r="606" spans="1:10" s="157" customFormat="1" ht="11.25" customHeight="1" x14ac:dyDescent="0.2">
      <c r="A606" s="235"/>
      <c r="B606" s="215" t="s">
        <v>173</v>
      </c>
      <c r="C606" s="221"/>
      <c r="D606" s="221"/>
      <c r="E606" s="221"/>
      <c r="F606" s="221"/>
      <c r="G606" s="221"/>
      <c r="H606" s="221"/>
      <c r="I606" s="221"/>
      <c r="J606" s="221"/>
    </row>
    <row r="607" spans="1:10" s="157" customFormat="1" ht="11.25" customHeight="1" x14ac:dyDescent="0.2">
      <c r="A607" s="235"/>
      <c r="B607" s="215" t="s">
        <v>174</v>
      </c>
      <c r="C607" s="221"/>
      <c r="D607" s="221"/>
      <c r="E607" s="221"/>
      <c r="F607" s="221"/>
      <c r="G607" s="221"/>
      <c r="H607" s="221"/>
      <c r="I607" s="221"/>
      <c r="J607" s="221"/>
    </row>
    <row r="608" spans="1:10" s="157" customFormat="1" ht="11.25" customHeight="1" x14ac:dyDescent="0.2">
      <c r="A608" s="235"/>
      <c r="B608" s="215" t="s">
        <v>175</v>
      </c>
      <c r="C608" s="212">
        <f>SUM(D608:F608)</f>
        <v>7000</v>
      </c>
      <c r="D608" s="221">
        <v>7000</v>
      </c>
      <c r="E608" s="221">
        <v>0</v>
      </c>
      <c r="F608" s="221">
        <v>0</v>
      </c>
      <c r="G608" s="221">
        <v>0</v>
      </c>
      <c r="H608" s="221">
        <v>0</v>
      </c>
      <c r="I608" s="221">
        <v>0</v>
      </c>
      <c r="J608" s="221">
        <v>0</v>
      </c>
    </row>
    <row r="609" spans="1:10" s="157" customFormat="1" ht="11.25" customHeight="1" x14ac:dyDescent="0.2">
      <c r="A609" s="164" t="s">
        <v>113</v>
      </c>
      <c r="B609" s="215" t="s">
        <v>114</v>
      </c>
      <c r="C609" s="212">
        <f>SUM(D609:F609)</f>
        <v>15000</v>
      </c>
      <c r="D609" s="221">
        <v>15000</v>
      </c>
      <c r="E609" s="221">
        <v>0</v>
      </c>
      <c r="F609" s="221">
        <v>0</v>
      </c>
      <c r="G609" s="221">
        <v>0</v>
      </c>
      <c r="H609" s="221">
        <v>0</v>
      </c>
      <c r="I609" s="221">
        <v>0</v>
      </c>
      <c r="J609" s="221">
        <v>0</v>
      </c>
    </row>
    <row r="610" spans="1:10" s="157" customFormat="1" ht="11.25" customHeight="1" x14ac:dyDescent="0.2">
      <c r="A610" s="164" t="s">
        <v>115</v>
      </c>
      <c r="B610" s="215" t="s">
        <v>116</v>
      </c>
      <c r="C610" s="212">
        <f>SUM(D610:F610)</f>
        <v>19693</v>
      </c>
      <c r="D610" s="221">
        <v>19693</v>
      </c>
      <c r="E610" s="221">
        <v>0</v>
      </c>
      <c r="F610" s="221">
        <v>0</v>
      </c>
      <c r="G610" s="221">
        <v>0</v>
      </c>
      <c r="H610" s="221">
        <v>0</v>
      </c>
      <c r="I610" s="221">
        <v>0</v>
      </c>
      <c r="J610" s="221">
        <v>0</v>
      </c>
    </row>
    <row r="611" spans="1:10" s="157" customFormat="1" ht="11.25" customHeight="1" x14ac:dyDescent="0.2">
      <c r="A611" s="164" t="s">
        <v>121</v>
      </c>
      <c r="B611" s="215" t="s">
        <v>122</v>
      </c>
      <c r="C611" s="212">
        <f>SUM(D611:F611)</f>
        <v>6150</v>
      </c>
      <c r="D611" s="221">
        <v>6150</v>
      </c>
      <c r="E611" s="221">
        <v>0</v>
      </c>
      <c r="F611" s="221">
        <v>0</v>
      </c>
      <c r="G611" s="221">
        <v>0</v>
      </c>
      <c r="H611" s="221">
        <v>0</v>
      </c>
      <c r="I611" s="221">
        <v>0</v>
      </c>
      <c r="J611" s="221">
        <v>0</v>
      </c>
    </row>
    <row r="612" spans="1:10" ht="11.25" customHeight="1" x14ac:dyDescent="0.2">
      <c r="A612" s="207" t="s">
        <v>448</v>
      </c>
      <c r="B612" s="182" t="s">
        <v>449</v>
      </c>
      <c r="C612" s="224">
        <f t="shared" ref="C612:J612" si="95">SUM(C613:C614)</f>
        <v>15503</v>
      </c>
      <c r="D612" s="224">
        <f t="shared" si="95"/>
        <v>15503</v>
      </c>
      <c r="E612" s="224">
        <f t="shared" si="95"/>
        <v>0</v>
      </c>
      <c r="F612" s="224">
        <f t="shared" si="95"/>
        <v>0</v>
      </c>
      <c r="G612" s="224">
        <f t="shared" si="95"/>
        <v>0</v>
      </c>
      <c r="H612" s="224">
        <f t="shared" si="95"/>
        <v>0</v>
      </c>
      <c r="I612" s="224">
        <f t="shared" si="95"/>
        <v>0</v>
      </c>
      <c r="J612" s="224">
        <f t="shared" si="95"/>
        <v>0</v>
      </c>
    </row>
    <row r="613" spans="1:10" ht="11.25" customHeight="1" x14ac:dyDescent="0.2">
      <c r="A613" s="164" t="s">
        <v>113</v>
      </c>
      <c r="B613" s="215" t="s">
        <v>114</v>
      </c>
      <c r="C613" s="221">
        <f>SUM(D613+F613)</f>
        <v>8600</v>
      </c>
      <c r="D613" s="221">
        <v>8600</v>
      </c>
      <c r="E613" s="221">
        <v>0</v>
      </c>
      <c r="F613" s="221">
        <v>0</v>
      </c>
      <c r="G613" s="221">
        <v>0</v>
      </c>
      <c r="H613" s="221">
        <v>0</v>
      </c>
      <c r="I613" s="221">
        <v>0</v>
      </c>
      <c r="J613" s="221">
        <v>0</v>
      </c>
    </row>
    <row r="614" spans="1:10" ht="11.25" customHeight="1" x14ac:dyDescent="0.2">
      <c r="A614" s="223" t="s">
        <v>115</v>
      </c>
      <c r="B614" s="182" t="s">
        <v>116</v>
      </c>
      <c r="C614" s="209">
        <f>SUM(D614:F614)</f>
        <v>6903</v>
      </c>
      <c r="D614" s="224">
        <v>6903</v>
      </c>
      <c r="E614" s="224">
        <v>0</v>
      </c>
      <c r="F614" s="224">
        <v>0</v>
      </c>
      <c r="G614" s="224">
        <v>0</v>
      </c>
      <c r="H614" s="224">
        <v>0</v>
      </c>
      <c r="I614" s="224">
        <v>0</v>
      </c>
      <c r="J614" s="224">
        <v>0</v>
      </c>
    </row>
    <row r="615" spans="1:10" ht="11.25" customHeight="1" x14ac:dyDescent="0.2">
      <c r="A615" s="207" t="s">
        <v>450</v>
      </c>
      <c r="B615" s="182" t="s">
        <v>451</v>
      </c>
      <c r="C615" s="209">
        <f t="shared" ref="C615:J615" si="96">SUM(C616:C617)</f>
        <v>5500</v>
      </c>
      <c r="D615" s="209">
        <f t="shared" si="96"/>
        <v>5500</v>
      </c>
      <c r="E615" s="209">
        <f t="shared" si="96"/>
        <v>0</v>
      </c>
      <c r="F615" s="209">
        <f t="shared" si="96"/>
        <v>0</v>
      </c>
      <c r="G615" s="209">
        <f t="shared" si="96"/>
        <v>0</v>
      </c>
      <c r="H615" s="209">
        <f t="shared" si="96"/>
        <v>0</v>
      </c>
      <c r="I615" s="209">
        <f t="shared" si="96"/>
        <v>0</v>
      </c>
      <c r="J615" s="209">
        <f t="shared" si="96"/>
        <v>0</v>
      </c>
    </row>
    <row r="616" spans="1:10" ht="11.25" customHeight="1" x14ac:dyDescent="0.2">
      <c r="A616" s="164" t="s">
        <v>113</v>
      </c>
      <c r="B616" s="215" t="s">
        <v>114</v>
      </c>
      <c r="C616" s="236">
        <f>SUM(D616)</f>
        <v>3000</v>
      </c>
      <c r="D616" s="236">
        <v>3000</v>
      </c>
      <c r="E616" s="236">
        <v>0</v>
      </c>
      <c r="F616" s="236"/>
      <c r="G616" s="236"/>
      <c r="H616" s="236"/>
      <c r="I616" s="236"/>
      <c r="J616" s="236"/>
    </row>
    <row r="617" spans="1:10" ht="11.25" customHeight="1" x14ac:dyDescent="0.2">
      <c r="A617" s="164" t="s">
        <v>115</v>
      </c>
      <c r="B617" s="215" t="s">
        <v>116</v>
      </c>
      <c r="C617" s="212">
        <f>SUM(D617:F617)</f>
        <v>2500</v>
      </c>
      <c r="D617" s="221">
        <v>2500</v>
      </c>
      <c r="E617" s="221">
        <v>0</v>
      </c>
      <c r="F617" s="221">
        <v>0</v>
      </c>
      <c r="G617" s="221">
        <v>0</v>
      </c>
      <c r="H617" s="221">
        <v>0</v>
      </c>
      <c r="I617" s="221">
        <v>0</v>
      </c>
      <c r="J617" s="221">
        <v>0</v>
      </c>
    </row>
    <row r="618" spans="1:10" ht="11.25" customHeight="1" x14ac:dyDescent="0.2">
      <c r="A618" s="223" t="s">
        <v>452</v>
      </c>
      <c r="B618" s="182" t="s">
        <v>453</v>
      </c>
      <c r="C618" s="209">
        <f t="shared" ref="C618:J618" si="97">SUM(C619:C619)</f>
        <v>1800</v>
      </c>
      <c r="D618" s="209">
        <f t="shared" si="97"/>
        <v>1800</v>
      </c>
      <c r="E618" s="209">
        <f t="shared" si="97"/>
        <v>0</v>
      </c>
      <c r="F618" s="209">
        <f t="shared" si="97"/>
        <v>0</v>
      </c>
      <c r="G618" s="209">
        <f t="shared" si="97"/>
        <v>0</v>
      </c>
      <c r="H618" s="209">
        <f t="shared" si="97"/>
        <v>0</v>
      </c>
      <c r="I618" s="209">
        <f t="shared" si="97"/>
        <v>0</v>
      </c>
      <c r="J618" s="209">
        <f t="shared" si="97"/>
        <v>0</v>
      </c>
    </row>
    <row r="619" spans="1:10" ht="11.25" customHeight="1" x14ac:dyDescent="0.2">
      <c r="A619" s="237" t="s">
        <v>121</v>
      </c>
      <c r="B619" s="238" t="s">
        <v>122</v>
      </c>
      <c r="C619" s="236">
        <f>SUM(D619)</f>
        <v>1800</v>
      </c>
      <c r="D619" s="239">
        <v>1800</v>
      </c>
      <c r="E619" s="239">
        <v>0</v>
      </c>
      <c r="F619" s="239">
        <v>0</v>
      </c>
      <c r="G619" s="239">
        <v>0</v>
      </c>
      <c r="H619" s="239">
        <v>0</v>
      </c>
      <c r="I619" s="239">
        <v>0</v>
      </c>
      <c r="J619" s="239">
        <v>0</v>
      </c>
    </row>
    <row r="620" spans="1:10" ht="11.25" customHeight="1" x14ac:dyDescent="0.2">
      <c r="A620" s="216" t="s">
        <v>454</v>
      </c>
      <c r="B620" s="215" t="s">
        <v>455</v>
      </c>
      <c r="C620" s="221"/>
      <c r="D620" s="221"/>
      <c r="E620" s="221"/>
      <c r="F620" s="221"/>
      <c r="G620" s="221"/>
      <c r="H620" s="221"/>
      <c r="I620" s="221"/>
      <c r="J620" s="221"/>
    </row>
    <row r="621" spans="1:10" ht="11.25" customHeight="1" x14ac:dyDescent="0.2">
      <c r="A621" s="207"/>
      <c r="B621" s="182" t="s">
        <v>456</v>
      </c>
      <c r="C621" s="209">
        <f t="shared" ref="C621:J621" si="98">SUM(C622:C626)</f>
        <v>331250</v>
      </c>
      <c r="D621" s="209">
        <f t="shared" si="98"/>
        <v>329250</v>
      </c>
      <c r="E621" s="209">
        <f t="shared" si="98"/>
        <v>0</v>
      </c>
      <c r="F621" s="209">
        <f t="shared" si="98"/>
        <v>2000</v>
      </c>
      <c r="G621" s="209">
        <f t="shared" si="98"/>
        <v>0</v>
      </c>
      <c r="H621" s="209">
        <f t="shared" si="98"/>
        <v>2000</v>
      </c>
      <c r="I621" s="209">
        <f t="shared" si="98"/>
        <v>0</v>
      </c>
      <c r="J621" s="209">
        <f t="shared" si="98"/>
        <v>0</v>
      </c>
    </row>
    <row r="622" spans="1:10" ht="11.25" customHeight="1" x14ac:dyDescent="0.2">
      <c r="A622" s="164" t="s">
        <v>113</v>
      </c>
      <c r="B622" s="215" t="s">
        <v>114</v>
      </c>
      <c r="C622" s="212">
        <f>SUM(D622:F622)</f>
        <v>308750</v>
      </c>
      <c r="D622" s="221">
        <v>308750</v>
      </c>
      <c r="E622" s="221">
        <v>0</v>
      </c>
      <c r="F622" s="221">
        <v>0</v>
      </c>
      <c r="G622" s="221">
        <v>0</v>
      </c>
      <c r="H622" s="221">
        <v>0</v>
      </c>
      <c r="I622" s="221">
        <v>0</v>
      </c>
      <c r="J622" s="221">
        <v>0</v>
      </c>
    </row>
    <row r="623" spans="1:10" ht="11.25" customHeight="1" x14ac:dyDescent="0.2">
      <c r="A623" s="164" t="s">
        <v>106</v>
      </c>
      <c r="B623" s="215" t="s">
        <v>107</v>
      </c>
      <c r="C623" s="212">
        <f>SUM(F623)</f>
        <v>2000</v>
      </c>
      <c r="D623" s="221">
        <v>0</v>
      </c>
      <c r="E623" s="221">
        <v>0</v>
      </c>
      <c r="F623" s="221">
        <f>SUM(H623)</f>
        <v>2000</v>
      </c>
      <c r="G623" s="221">
        <v>0</v>
      </c>
      <c r="H623" s="221">
        <v>2000</v>
      </c>
      <c r="I623" s="221">
        <v>0</v>
      </c>
      <c r="J623" s="221">
        <v>0</v>
      </c>
    </row>
    <row r="624" spans="1:10" ht="11.25" customHeight="1" x14ac:dyDescent="0.2">
      <c r="A624" s="164" t="s">
        <v>115</v>
      </c>
      <c r="B624" s="215" t="s">
        <v>116</v>
      </c>
      <c r="C624" s="212">
        <f>SUM(D624:F624)</f>
        <v>1500</v>
      </c>
      <c r="D624" s="221">
        <v>1500</v>
      </c>
      <c r="E624" s="221">
        <v>0</v>
      </c>
      <c r="F624" s="221">
        <v>0</v>
      </c>
      <c r="G624" s="221">
        <v>0</v>
      </c>
      <c r="H624" s="221">
        <v>0</v>
      </c>
      <c r="I624" s="221">
        <v>0</v>
      </c>
      <c r="J624" s="221">
        <v>0</v>
      </c>
    </row>
    <row r="625" spans="1:10" ht="11.25" customHeight="1" x14ac:dyDescent="0.2">
      <c r="A625" s="164" t="s">
        <v>117</v>
      </c>
      <c r="B625" s="215" t="s">
        <v>118</v>
      </c>
      <c r="C625" s="212">
        <f>SUM(D625:F625)</f>
        <v>4000</v>
      </c>
      <c r="D625" s="221">
        <v>4000</v>
      </c>
      <c r="E625" s="221">
        <v>0</v>
      </c>
      <c r="F625" s="221">
        <v>0</v>
      </c>
      <c r="G625" s="221">
        <v>0</v>
      </c>
      <c r="H625" s="221">
        <v>0</v>
      </c>
      <c r="I625" s="221">
        <v>0</v>
      </c>
      <c r="J625" s="221">
        <v>0</v>
      </c>
    </row>
    <row r="626" spans="1:10" ht="11.25" customHeight="1" x14ac:dyDescent="0.2">
      <c r="A626" s="164" t="s">
        <v>121</v>
      </c>
      <c r="B626" s="215" t="s">
        <v>122</v>
      </c>
      <c r="C626" s="212">
        <f>SUM(D626)</f>
        <v>15000</v>
      </c>
      <c r="D626" s="221">
        <v>15000</v>
      </c>
      <c r="E626" s="221">
        <v>0</v>
      </c>
      <c r="F626" s="221">
        <v>0</v>
      </c>
      <c r="G626" s="221">
        <v>0</v>
      </c>
      <c r="H626" s="221">
        <v>0</v>
      </c>
      <c r="I626" s="221">
        <v>0</v>
      </c>
      <c r="J626" s="221">
        <v>0</v>
      </c>
    </row>
    <row r="627" spans="1:10" ht="11.25" customHeight="1" x14ac:dyDescent="0.2">
      <c r="A627" s="146" t="s">
        <v>457</v>
      </c>
      <c r="B627" s="126" t="s">
        <v>458</v>
      </c>
      <c r="C627" s="127">
        <f t="shared" ref="C627:J627" si="99">SUM(C628:C630)</f>
        <v>700000</v>
      </c>
      <c r="D627" s="127">
        <f t="shared" si="99"/>
        <v>700000</v>
      </c>
      <c r="E627" s="127">
        <f t="shared" si="99"/>
        <v>0</v>
      </c>
      <c r="F627" s="127">
        <f t="shared" si="99"/>
        <v>0</v>
      </c>
      <c r="G627" s="127">
        <f t="shared" si="99"/>
        <v>0</v>
      </c>
      <c r="H627" s="127">
        <f t="shared" si="99"/>
        <v>0</v>
      </c>
      <c r="I627" s="127">
        <f t="shared" si="99"/>
        <v>0</v>
      </c>
      <c r="J627" s="127">
        <f t="shared" si="99"/>
        <v>0</v>
      </c>
    </row>
    <row r="628" spans="1:10" ht="11.25" customHeight="1" x14ac:dyDescent="0.2">
      <c r="A628" s="116" t="s">
        <v>438</v>
      </c>
      <c r="B628" s="128" t="s">
        <v>439</v>
      </c>
      <c r="C628" s="120"/>
      <c r="D628" s="117"/>
      <c r="E628" s="117"/>
      <c r="F628" s="117"/>
      <c r="G628" s="117"/>
      <c r="H628" s="117"/>
      <c r="I628" s="117"/>
      <c r="J628" s="117"/>
    </row>
    <row r="629" spans="1:10" ht="11.25" customHeight="1" x14ac:dyDescent="0.2">
      <c r="A629" s="148"/>
      <c r="B629" s="128" t="s">
        <v>440</v>
      </c>
      <c r="C629" s="120"/>
      <c r="D629" s="117"/>
      <c r="E629" s="117"/>
      <c r="F629" s="117"/>
      <c r="G629" s="117"/>
      <c r="H629" s="117"/>
      <c r="I629" s="117"/>
      <c r="J629" s="117"/>
    </row>
    <row r="630" spans="1:10" ht="11.25" customHeight="1" x14ac:dyDescent="0.2">
      <c r="A630" s="148"/>
      <c r="B630" s="128" t="s">
        <v>441</v>
      </c>
      <c r="C630" s="120">
        <f>SUM(D630:E630)</f>
        <v>700000</v>
      </c>
      <c r="D630" s="117">
        <v>700000</v>
      </c>
      <c r="E630" s="117">
        <v>0</v>
      </c>
      <c r="F630" s="117">
        <v>0</v>
      </c>
      <c r="G630" s="117">
        <v>0</v>
      </c>
      <c r="H630" s="117">
        <v>0</v>
      </c>
      <c r="I630" s="117">
        <v>0</v>
      </c>
      <c r="J630" s="117">
        <v>0</v>
      </c>
    </row>
    <row r="631" spans="1:10" ht="11.25" customHeight="1" x14ac:dyDescent="0.2">
      <c r="A631" s="207" t="s">
        <v>459</v>
      </c>
      <c r="B631" s="240" t="s">
        <v>460</v>
      </c>
      <c r="C631" s="209">
        <f t="shared" ref="C631:J631" si="100">C632</f>
        <v>2000</v>
      </c>
      <c r="D631" s="209">
        <f t="shared" si="100"/>
        <v>2000</v>
      </c>
      <c r="E631" s="209">
        <f t="shared" si="100"/>
        <v>0</v>
      </c>
      <c r="F631" s="209">
        <f t="shared" si="100"/>
        <v>0</v>
      </c>
      <c r="G631" s="209">
        <f t="shared" si="100"/>
        <v>0</v>
      </c>
      <c r="H631" s="209">
        <f t="shared" si="100"/>
        <v>0</v>
      </c>
      <c r="I631" s="209">
        <f t="shared" si="100"/>
        <v>0</v>
      </c>
      <c r="J631" s="209">
        <f t="shared" si="100"/>
        <v>0</v>
      </c>
    </row>
    <row r="632" spans="1:10" ht="11.25" customHeight="1" x14ac:dyDescent="0.2">
      <c r="A632" s="164" t="s">
        <v>121</v>
      </c>
      <c r="B632" s="215" t="s">
        <v>122</v>
      </c>
      <c r="C632" s="212">
        <f>SUM(D632)</f>
        <v>2000</v>
      </c>
      <c r="D632" s="221">
        <v>2000</v>
      </c>
      <c r="E632" s="221">
        <v>0</v>
      </c>
      <c r="F632" s="221">
        <v>0</v>
      </c>
      <c r="G632" s="221">
        <v>0</v>
      </c>
      <c r="H632" s="221">
        <v>0</v>
      </c>
      <c r="I632" s="221">
        <v>0</v>
      </c>
      <c r="J632" s="221">
        <v>0</v>
      </c>
    </row>
    <row r="633" spans="1:10" s="157" customFormat="1" ht="11.25" customHeight="1" x14ac:dyDescent="0.2">
      <c r="A633" s="207" t="s">
        <v>318</v>
      </c>
      <c r="B633" s="182" t="s">
        <v>96</v>
      </c>
      <c r="C633" s="209">
        <f>SUM(C634:C649)</f>
        <v>2877843.9500000007</v>
      </c>
      <c r="D633" s="209">
        <f t="shared" ref="D633:J633" si="101">SUM(D634:D649)</f>
        <v>2877843.9500000007</v>
      </c>
      <c r="E633" s="209">
        <f t="shared" si="101"/>
        <v>2486046.35</v>
      </c>
      <c r="F633" s="209">
        <f t="shared" si="101"/>
        <v>0</v>
      </c>
      <c r="G633" s="209">
        <f t="shared" si="101"/>
        <v>0</v>
      </c>
      <c r="H633" s="209">
        <f t="shared" si="101"/>
        <v>0</v>
      </c>
      <c r="I633" s="209">
        <f t="shared" si="101"/>
        <v>0</v>
      </c>
      <c r="J633" s="209">
        <f t="shared" si="101"/>
        <v>0</v>
      </c>
    </row>
    <row r="634" spans="1:10" ht="21.75" customHeight="1" x14ac:dyDescent="0.2">
      <c r="A634" s="210" t="s">
        <v>329</v>
      </c>
      <c r="B634" s="241" t="s">
        <v>461</v>
      </c>
      <c r="C634" s="212">
        <f>SUM(D634)</f>
        <v>3937.6</v>
      </c>
      <c r="D634" s="221">
        <v>3937.6</v>
      </c>
      <c r="E634" s="221">
        <v>0</v>
      </c>
      <c r="F634" s="221">
        <v>0</v>
      </c>
      <c r="G634" s="221">
        <v>0</v>
      </c>
      <c r="H634" s="221">
        <v>0</v>
      </c>
      <c r="I634" s="221">
        <v>0</v>
      </c>
      <c r="J634" s="221">
        <v>0</v>
      </c>
    </row>
    <row r="635" spans="1:10" ht="11.25" customHeight="1" x14ac:dyDescent="0.2">
      <c r="A635" s="164" t="s">
        <v>200</v>
      </c>
      <c r="B635" s="217" t="s">
        <v>462</v>
      </c>
      <c r="C635" s="212"/>
      <c r="D635" s="221"/>
      <c r="E635" s="221"/>
      <c r="F635" s="221"/>
      <c r="G635" s="221"/>
      <c r="H635" s="221"/>
      <c r="I635" s="221"/>
      <c r="J635" s="221"/>
    </row>
    <row r="636" spans="1:10" ht="11.25" customHeight="1" x14ac:dyDescent="0.2">
      <c r="A636" s="164"/>
      <c r="B636" s="217" t="s">
        <v>463</v>
      </c>
      <c r="C636" s="212"/>
      <c r="D636" s="221"/>
      <c r="E636" s="221"/>
      <c r="F636" s="221"/>
      <c r="G636" s="221"/>
      <c r="H636" s="221"/>
      <c r="I636" s="221"/>
      <c r="J636" s="221"/>
    </row>
    <row r="637" spans="1:10" ht="11.25" customHeight="1" x14ac:dyDescent="0.2">
      <c r="A637" s="164"/>
      <c r="B637" s="217" t="s">
        <v>464</v>
      </c>
      <c r="C637" s="212"/>
      <c r="D637" s="221"/>
      <c r="E637" s="221"/>
      <c r="F637" s="221"/>
      <c r="G637" s="221"/>
      <c r="H637" s="221"/>
      <c r="I637" s="221"/>
      <c r="J637" s="221"/>
    </row>
    <row r="638" spans="1:10" ht="11.25" customHeight="1" x14ac:dyDescent="0.2">
      <c r="A638" s="164"/>
      <c r="B638" s="217" t="s">
        <v>465</v>
      </c>
      <c r="C638" s="212"/>
      <c r="D638" s="221"/>
      <c r="E638" s="221"/>
      <c r="F638" s="221"/>
      <c r="G638" s="221"/>
      <c r="H638" s="221"/>
      <c r="I638" s="221"/>
      <c r="J638" s="221"/>
    </row>
    <row r="639" spans="1:10" ht="11.25" customHeight="1" x14ac:dyDescent="0.2">
      <c r="A639" s="164"/>
      <c r="B639" s="217" t="s">
        <v>143</v>
      </c>
      <c r="C639" s="212">
        <f>SUM(D639,F639)</f>
        <v>1864308.2100000002</v>
      </c>
      <c r="D639" s="221">
        <f>SUM(E639)</f>
        <v>1864308.2100000002</v>
      </c>
      <c r="E639" s="221">
        <f>205051+39545+187011+1419479.61+13221.6</f>
        <v>1864308.2100000002</v>
      </c>
      <c r="F639" s="221">
        <v>0</v>
      </c>
      <c r="G639" s="221">
        <v>0</v>
      </c>
      <c r="H639" s="221">
        <v>0</v>
      </c>
      <c r="I639" s="221">
        <v>0</v>
      </c>
      <c r="J639" s="221">
        <v>0</v>
      </c>
    </row>
    <row r="640" spans="1:10" ht="11.25" customHeight="1" x14ac:dyDescent="0.2">
      <c r="A640" s="164" t="s">
        <v>202</v>
      </c>
      <c r="B640" s="217" t="s">
        <v>462</v>
      </c>
      <c r="C640" s="212"/>
      <c r="D640" s="221"/>
      <c r="E640" s="221"/>
      <c r="F640" s="221"/>
      <c r="G640" s="221"/>
      <c r="H640" s="221"/>
      <c r="I640" s="221"/>
      <c r="J640" s="221"/>
    </row>
    <row r="641" spans="1:10" ht="11.25" customHeight="1" x14ac:dyDescent="0.2">
      <c r="A641" s="164"/>
      <c r="B641" s="217" t="s">
        <v>463</v>
      </c>
      <c r="C641" s="212"/>
      <c r="D641" s="221"/>
      <c r="E641" s="221"/>
      <c r="F641" s="221"/>
      <c r="G641" s="221"/>
      <c r="H641" s="221"/>
      <c r="I641" s="221"/>
      <c r="J641" s="221"/>
    </row>
    <row r="642" spans="1:10" ht="11.25" customHeight="1" x14ac:dyDescent="0.2">
      <c r="A642" s="164"/>
      <c r="B642" s="217" t="s">
        <v>464</v>
      </c>
      <c r="C642" s="212"/>
      <c r="D642" s="221"/>
      <c r="E642" s="221"/>
      <c r="F642" s="221"/>
      <c r="G642" s="221"/>
      <c r="H642" s="221"/>
      <c r="I642" s="221"/>
      <c r="J642" s="221"/>
    </row>
    <row r="643" spans="1:10" ht="10.5" customHeight="1" x14ac:dyDescent="0.2">
      <c r="A643" s="164"/>
      <c r="B643" s="217" t="s">
        <v>466</v>
      </c>
      <c r="C643" s="212">
        <f>SUM(D643)</f>
        <v>146991.79</v>
      </c>
      <c r="D643" s="221">
        <f>E643</f>
        <v>146991.79</v>
      </c>
      <c r="E643" s="221">
        <f>43436+8378+10989+83410.39+778.4</f>
        <v>146991.79</v>
      </c>
      <c r="F643" s="221">
        <v>0</v>
      </c>
      <c r="G643" s="221">
        <v>0</v>
      </c>
      <c r="H643" s="221">
        <v>0</v>
      </c>
      <c r="I643" s="221">
        <v>0</v>
      </c>
      <c r="J643" s="221">
        <v>0</v>
      </c>
    </row>
    <row r="644" spans="1:10" ht="10.5" customHeight="1" x14ac:dyDescent="0.2">
      <c r="A644" s="164" t="s">
        <v>438</v>
      </c>
      <c r="B644" s="217" t="s">
        <v>467</v>
      </c>
      <c r="C644" s="212"/>
      <c r="D644" s="221"/>
      <c r="E644" s="221"/>
      <c r="F644" s="221"/>
      <c r="G644" s="221"/>
      <c r="H644" s="221"/>
      <c r="I644" s="221"/>
      <c r="J644" s="221"/>
    </row>
    <row r="645" spans="1:10" ht="10.5" customHeight="1" x14ac:dyDescent="0.2">
      <c r="A645" s="164"/>
      <c r="B645" s="217" t="s">
        <v>468</v>
      </c>
      <c r="C645" s="212"/>
      <c r="D645" s="221"/>
      <c r="E645" s="221"/>
      <c r="F645" s="221"/>
      <c r="G645" s="221"/>
      <c r="H645" s="221"/>
      <c r="I645" s="221"/>
      <c r="J645" s="221"/>
    </row>
    <row r="646" spans="1:10" ht="10.5" customHeight="1" x14ac:dyDescent="0.2">
      <c r="A646" s="164"/>
      <c r="B646" s="217" t="s">
        <v>441</v>
      </c>
      <c r="C646" s="212">
        <f>SUM(D646:F646)</f>
        <v>387860</v>
      </c>
      <c r="D646" s="221">
        <v>387860</v>
      </c>
      <c r="E646" s="221">
        <v>0</v>
      </c>
      <c r="F646" s="221">
        <v>0</v>
      </c>
      <c r="G646" s="221">
        <v>0</v>
      </c>
      <c r="H646" s="221">
        <v>0</v>
      </c>
      <c r="I646" s="221">
        <v>0</v>
      </c>
      <c r="J646" s="221">
        <v>0</v>
      </c>
    </row>
    <row r="647" spans="1:10" ht="10.5" customHeight="1" x14ac:dyDescent="0.2">
      <c r="A647" s="164" t="s">
        <v>469</v>
      </c>
      <c r="B647" s="215" t="s">
        <v>470</v>
      </c>
      <c r="C647" s="212"/>
      <c r="D647" s="221"/>
      <c r="E647" s="221"/>
      <c r="F647" s="221"/>
      <c r="G647" s="221"/>
      <c r="H647" s="221"/>
      <c r="I647" s="221"/>
      <c r="J647" s="221"/>
    </row>
    <row r="648" spans="1:10" ht="9.75" customHeight="1" x14ac:dyDescent="0.2">
      <c r="A648" s="164"/>
      <c r="B648" s="215" t="s">
        <v>471</v>
      </c>
      <c r="C648" s="212"/>
      <c r="D648" s="221"/>
      <c r="E648" s="221"/>
      <c r="F648" s="221"/>
      <c r="G648" s="221"/>
      <c r="H648" s="221"/>
      <c r="I648" s="221"/>
      <c r="J648" s="221"/>
    </row>
    <row r="649" spans="1:10" ht="10.5" customHeight="1" x14ac:dyDescent="0.2">
      <c r="A649" s="223"/>
      <c r="B649" s="182" t="s">
        <v>472</v>
      </c>
      <c r="C649" s="209">
        <f>SUM(D649,F649)</f>
        <v>474746.35</v>
      </c>
      <c r="D649" s="224">
        <v>474746.35</v>
      </c>
      <c r="E649" s="224">
        <v>474746.35</v>
      </c>
      <c r="F649" s="224">
        <v>0</v>
      </c>
      <c r="G649" s="224">
        <v>0</v>
      </c>
      <c r="H649" s="224">
        <v>0</v>
      </c>
      <c r="I649" s="224">
        <v>0</v>
      </c>
      <c r="J649" s="224">
        <v>0</v>
      </c>
    </row>
    <row r="650" spans="1:10" ht="13.5" customHeight="1" thickBot="1" x14ac:dyDescent="0.25">
      <c r="A650" s="204" t="s">
        <v>54</v>
      </c>
      <c r="B650" s="233" t="s">
        <v>55</v>
      </c>
      <c r="C650" s="206">
        <f t="shared" ref="C650:J650" si="102">SUM(C651)</f>
        <v>280999.52</v>
      </c>
      <c r="D650" s="206">
        <f t="shared" si="102"/>
        <v>280999.52</v>
      </c>
      <c r="E650" s="206">
        <f t="shared" si="102"/>
        <v>280999.52</v>
      </c>
      <c r="F650" s="206">
        <f t="shared" si="102"/>
        <v>0</v>
      </c>
      <c r="G650" s="206">
        <f t="shared" si="102"/>
        <v>0</v>
      </c>
      <c r="H650" s="206">
        <f t="shared" si="102"/>
        <v>0</v>
      </c>
      <c r="I650" s="206">
        <f t="shared" si="102"/>
        <v>0</v>
      </c>
      <c r="J650" s="206">
        <f t="shared" si="102"/>
        <v>0</v>
      </c>
    </row>
    <row r="651" spans="1:10" ht="11.25" customHeight="1" thickTop="1" x14ac:dyDescent="0.2">
      <c r="A651" s="207" t="s">
        <v>366</v>
      </c>
      <c r="B651" s="182" t="s">
        <v>367</v>
      </c>
      <c r="C651" s="209">
        <f t="shared" ref="C651:J651" si="103">SUM(C652:C661)</f>
        <v>280999.52</v>
      </c>
      <c r="D651" s="209">
        <f t="shared" si="103"/>
        <v>280999.52</v>
      </c>
      <c r="E651" s="209">
        <f t="shared" si="103"/>
        <v>280999.52</v>
      </c>
      <c r="F651" s="209">
        <f t="shared" si="103"/>
        <v>0</v>
      </c>
      <c r="G651" s="209">
        <f t="shared" si="103"/>
        <v>0</v>
      </c>
      <c r="H651" s="209">
        <f t="shared" si="103"/>
        <v>0</v>
      </c>
      <c r="I651" s="209">
        <f t="shared" si="103"/>
        <v>0</v>
      </c>
      <c r="J651" s="209">
        <f t="shared" si="103"/>
        <v>0</v>
      </c>
    </row>
    <row r="652" spans="1:10" ht="11.25" customHeight="1" x14ac:dyDescent="0.2">
      <c r="A652" s="164" t="s">
        <v>200</v>
      </c>
      <c r="B652" s="215" t="s">
        <v>139</v>
      </c>
      <c r="C652" s="212"/>
      <c r="D652" s="221"/>
      <c r="E652" s="221"/>
      <c r="F652" s="221"/>
      <c r="G652" s="221"/>
      <c r="H652" s="221"/>
      <c r="I652" s="221"/>
      <c r="J652" s="221"/>
    </row>
    <row r="653" spans="1:10" ht="11.25" customHeight="1" x14ac:dyDescent="0.2">
      <c r="A653" s="164"/>
      <c r="B653" s="215" t="s">
        <v>319</v>
      </c>
      <c r="C653" s="212"/>
      <c r="D653" s="221"/>
      <c r="E653" s="221"/>
      <c r="F653" s="221"/>
      <c r="G653" s="221"/>
      <c r="H653" s="221"/>
      <c r="I653" s="221"/>
      <c r="J653" s="221"/>
    </row>
    <row r="654" spans="1:10" ht="11.25" customHeight="1" x14ac:dyDescent="0.2">
      <c r="A654" s="164"/>
      <c r="B654" s="215" t="s">
        <v>320</v>
      </c>
      <c r="C654" s="212"/>
      <c r="D654" s="221"/>
      <c r="E654" s="221"/>
      <c r="F654" s="221"/>
      <c r="G654" s="221"/>
      <c r="H654" s="221"/>
      <c r="I654" s="221"/>
      <c r="J654" s="221"/>
    </row>
    <row r="655" spans="1:10" ht="11.25" customHeight="1" x14ac:dyDescent="0.2">
      <c r="A655" s="164"/>
      <c r="B655" s="215" t="s">
        <v>321</v>
      </c>
      <c r="C655" s="212"/>
      <c r="D655" s="221"/>
      <c r="E655" s="221"/>
      <c r="F655" s="221"/>
      <c r="G655" s="221"/>
      <c r="H655" s="221"/>
      <c r="I655" s="221"/>
      <c r="J655" s="221"/>
    </row>
    <row r="656" spans="1:10" ht="11.25" customHeight="1" x14ac:dyDescent="0.2">
      <c r="A656" s="164"/>
      <c r="B656" s="215" t="s">
        <v>322</v>
      </c>
      <c r="C656" s="212">
        <f>SUM(D656,F656)</f>
        <v>251420.62</v>
      </c>
      <c r="D656" s="221">
        <f>SUM(E656)</f>
        <v>251420.62</v>
      </c>
      <c r="E656" s="221">
        <v>251420.62</v>
      </c>
      <c r="F656" s="221">
        <v>0</v>
      </c>
      <c r="G656" s="221">
        <v>0</v>
      </c>
      <c r="H656" s="221">
        <v>0</v>
      </c>
      <c r="I656" s="221">
        <v>0</v>
      </c>
      <c r="J656" s="221">
        <v>0</v>
      </c>
    </row>
    <row r="657" spans="1:10" ht="11.25" customHeight="1" x14ac:dyDescent="0.2">
      <c r="A657" s="164" t="s">
        <v>202</v>
      </c>
      <c r="B657" s="215" t="s">
        <v>139</v>
      </c>
      <c r="C657" s="212"/>
      <c r="D657" s="212"/>
      <c r="E657" s="212"/>
      <c r="F657" s="221"/>
      <c r="G657" s="221"/>
      <c r="H657" s="221"/>
      <c r="I657" s="221"/>
      <c r="J657" s="221"/>
    </row>
    <row r="658" spans="1:10" ht="11.25" customHeight="1" x14ac:dyDescent="0.2">
      <c r="A658" s="164"/>
      <c r="B658" s="215" t="s">
        <v>319</v>
      </c>
      <c r="C658" s="212"/>
      <c r="D658" s="221"/>
      <c r="E658" s="221"/>
      <c r="F658" s="221"/>
      <c r="G658" s="221"/>
      <c r="H658" s="221"/>
      <c r="I658" s="221"/>
      <c r="J658" s="221"/>
    </row>
    <row r="659" spans="1:10" ht="11.25" customHeight="1" x14ac:dyDescent="0.2">
      <c r="A659" s="164"/>
      <c r="B659" s="215" t="s">
        <v>320</v>
      </c>
      <c r="C659" s="212"/>
      <c r="D659" s="221"/>
      <c r="E659" s="221"/>
      <c r="F659" s="221"/>
      <c r="G659" s="221"/>
      <c r="H659" s="221"/>
      <c r="I659" s="221"/>
      <c r="J659" s="221"/>
    </row>
    <row r="660" spans="1:10" ht="11.25" customHeight="1" x14ac:dyDescent="0.2">
      <c r="A660" s="164"/>
      <c r="B660" s="215" t="s">
        <v>321</v>
      </c>
      <c r="C660" s="212"/>
      <c r="D660" s="221"/>
      <c r="E660" s="221"/>
      <c r="F660" s="221"/>
      <c r="G660" s="221"/>
      <c r="H660" s="221"/>
      <c r="I660" s="221"/>
      <c r="J660" s="221"/>
    </row>
    <row r="661" spans="1:10" ht="11.25" customHeight="1" x14ac:dyDescent="0.2">
      <c r="A661" s="164"/>
      <c r="B661" s="215" t="s">
        <v>322</v>
      </c>
      <c r="C661" s="212">
        <f>SUM(D661,F661)</f>
        <v>29578.9</v>
      </c>
      <c r="D661" s="221">
        <f>E661</f>
        <v>29578.9</v>
      </c>
      <c r="E661" s="221">
        <v>29578.9</v>
      </c>
      <c r="F661" s="221">
        <v>0</v>
      </c>
      <c r="G661" s="221">
        <v>0</v>
      </c>
      <c r="H661" s="221">
        <v>0</v>
      </c>
      <c r="I661" s="221">
        <v>0</v>
      </c>
      <c r="J661" s="221">
        <v>0</v>
      </c>
    </row>
    <row r="662" spans="1:10" ht="11.25" customHeight="1" thickBot="1" x14ac:dyDescent="0.25">
      <c r="A662" s="204" t="s">
        <v>56</v>
      </c>
      <c r="B662" s="233" t="s">
        <v>57</v>
      </c>
      <c r="C662" s="206">
        <f t="shared" ref="C662:J662" si="104">SUM(C664,C668)</f>
        <v>43671</v>
      </c>
      <c r="D662" s="206">
        <f t="shared" si="104"/>
        <v>43671</v>
      </c>
      <c r="E662" s="206">
        <f t="shared" si="104"/>
        <v>0</v>
      </c>
      <c r="F662" s="206">
        <f t="shared" si="104"/>
        <v>0</v>
      </c>
      <c r="G662" s="206">
        <f t="shared" si="104"/>
        <v>0</v>
      </c>
      <c r="H662" s="206">
        <f t="shared" si="104"/>
        <v>0</v>
      </c>
      <c r="I662" s="206">
        <f t="shared" si="104"/>
        <v>0</v>
      </c>
      <c r="J662" s="206">
        <f t="shared" si="104"/>
        <v>0</v>
      </c>
    </row>
    <row r="663" spans="1:10" ht="11.25" customHeight="1" thickTop="1" x14ac:dyDescent="0.2">
      <c r="A663" s="216" t="s">
        <v>473</v>
      </c>
      <c r="B663" s="215" t="s">
        <v>474</v>
      </c>
      <c r="C663" s="212"/>
      <c r="D663" s="221"/>
      <c r="E663" s="221"/>
      <c r="F663" s="221"/>
      <c r="G663" s="221"/>
      <c r="H663" s="221"/>
      <c r="I663" s="221"/>
      <c r="J663" s="221"/>
    </row>
    <row r="664" spans="1:10" ht="11.25" customHeight="1" x14ac:dyDescent="0.2">
      <c r="A664" s="207"/>
      <c r="B664" s="182" t="s">
        <v>475</v>
      </c>
      <c r="C664" s="209">
        <f>SUM(C667)</f>
        <v>43021</v>
      </c>
      <c r="D664" s="209">
        <f t="shared" ref="D664:J664" si="105">SUM(D667)</f>
        <v>43021</v>
      </c>
      <c r="E664" s="209">
        <f t="shared" si="105"/>
        <v>0</v>
      </c>
      <c r="F664" s="209">
        <f t="shared" si="105"/>
        <v>0</v>
      </c>
      <c r="G664" s="209">
        <f t="shared" si="105"/>
        <v>0</v>
      </c>
      <c r="H664" s="209">
        <f t="shared" si="105"/>
        <v>0</v>
      </c>
      <c r="I664" s="209">
        <f t="shared" si="105"/>
        <v>0</v>
      </c>
      <c r="J664" s="209">
        <f t="shared" si="105"/>
        <v>0</v>
      </c>
    </row>
    <row r="665" spans="1:10" ht="11.25" customHeight="1" x14ac:dyDescent="0.2">
      <c r="A665" s="164" t="s">
        <v>476</v>
      </c>
      <c r="B665" s="215" t="s">
        <v>477</v>
      </c>
      <c r="C665" s="221"/>
      <c r="D665" s="221"/>
      <c r="E665" s="221"/>
      <c r="F665" s="221"/>
      <c r="G665" s="221"/>
      <c r="H665" s="221"/>
      <c r="I665" s="221"/>
      <c r="J665" s="221"/>
    </row>
    <row r="666" spans="1:10" ht="11.25" customHeight="1" x14ac:dyDescent="0.2">
      <c r="A666" s="216"/>
      <c r="B666" s="215" t="s">
        <v>478</v>
      </c>
      <c r="C666" s="221"/>
      <c r="D666" s="221"/>
      <c r="E666" s="221"/>
      <c r="F666" s="221"/>
      <c r="G666" s="221"/>
      <c r="H666" s="221"/>
      <c r="I666" s="221"/>
      <c r="J666" s="221"/>
    </row>
    <row r="667" spans="1:10" ht="11.25" customHeight="1" x14ac:dyDescent="0.2">
      <c r="A667" s="216"/>
      <c r="B667" s="215" t="s">
        <v>479</v>
      </c>
      <c r="C667" s="212">
        <f>SUM(D667:F667)</f>
        <v>43021</v>
      </c>
      <c r="D667" s="221">
        <v>43021</v>
      </c>
      <c r="E667" s="221">
        <v>0</v>
      </c>
      <c r="F667" s="221">
        <v>0</v>
      </c>
      <c r="G667" s="221">
        <v>0</v>
      </c>
      <c r="H667" s="221">
        <v>0</v>
      </c>
      <c r="I667" s="221">
        <v>0</v>
      </c>
      <c r="J667" s="221">
        <v>0</v>
      </c>
    </row>
    <row r="668" spans="1:10" ht="11.25" customHeight="1" x14ac:dyDescent="0.2">
      <c r="A668" s="207" t="s">
        <v>480</v>
      </c>
      <c r="B668" s="182" t="s">
        <v>481</v>
      </c>
      <c r="C668" s="209">
        <f t="shared" ref="C668:J668" si="106">SUM(C671:C671)</f>
        <v>650</v>
      </c>
      <c r="D668" s="209">
        <f t="shared" si="106"/>
        <v>650</v>
      </c>
      <c r="E668" s="209">
        <f t="shared" si="106"/>
        <v>0</v>
      </c>
      <c r="F668" s="209">
        <f t="shared" si="106"/>
        <v>0</v>
      </c>
      <c r="G668" s="209">
        <f t="shared" si="106"/>
        <v>0</v>
      </c>
      <c r="H668" s="209">
        <f t="shared" si="106"/>
        <v>0</v>
      </c>
      <c r="I668" s="209">
        <f t="shared" si="106"/>
        <v>0</v>
      </c>
      <c r="J668" s="209">
        <f t="shared" si="106"/>
        <v>0</v>
      </c>
    </row>
    <row r="669" spans="1:10" ht="11.25" customHeight="1" x14ac:dyDescent="0.2">
      <c r="A669" s="216" t="s">
        <v>190</v>
      </c>
      <c r="B669" s="215" t="s">
        <v>377</v>
      </c>
      <c r="C669" s="212"/>
      <c r="D669" s="212"/>
      <c r="E669" s="212"/>
      <c r="F669" s="212"/>
      <c r="G669" s="212"/>
      <c r="H669" s="212"/>
      <c r="I669" s="212"/>
      <c r="J669" s="212"/>
    </row>
    <row r="670" spans="1:10" ht="11.25" customHeight="1" x14ac:dyDescent="0.2">
      <c r="A670" s="216"/>
      <c r="B670" s="215" t="s">
        <v>482</v>
      </c>
      <c r="C670" s="212"/>
      <c r="D670" s="212"/>
      <c r="E670" s="212"/>
      <c r="F670" s="212"/>
      <c r="G670" s="212"/>
      <c r="H670" s="212"/>
      <c r="I670" s="212"/>
      <c r="J670" s="212"/>
    </row>
    <row r="671" spans="1:10" ht="11.25" customHeight="1" x14ac:dyDescent="0.2">
      <c r="A671" s="164"/>
      <c r="B671" s="215" t="s">
        <v>483</v>
      </c>
      <c r="C671" s="212">
        <f>SUM(D671:F671)</f>
        <v>650</v>
      </c>
      <c r="D671" s="221">
        <v>650</v>
      </c>
      <c r="E671" s="221">
        <v>0</v>
      </c>
      <c r="F671" s="221">
        <v>0</v>
      </c>
      <c r="G671" s="221">
        <v>0</v>
      </c>
      <c r="H671" s="221">
        <v>0</v>
      </c>
      <c r="I671" s="221">
        <v>0</v>
      </c>
      <c r="J671" s="221">
        <v>0</v>
      </c>
    </row>
    <row r="672" spans="1:10" s="157" customFormat="1" ht="11.25" customHeight="1" thickBot="1" x14ac:dyDescent="0.25">
      <c r="A672" s="204" t="s">
        <v>58</v>
      </c>
      <c r="B672" s="233" t="s">
        <v>59</v>
      </c>
      <c r="C672" s="206">
        <f>C674+C677+C690+C692</f>
        <v>7427235.4500000002</v>
      </c>
      <c r="D672" s="206">
        <f t="shared" ref="D672:J672" si="107">D674+D677+D690+D692</f>
        <v>385146</v>
      </c>
      <c r="E672" s="206">
        <f t="shared" si="107"/>
        <v>0</v>
      </c>
      <c r="F672" s="206">
        <f t="shared" si="107"/>
        <v>7042089.4500000002</v>
      </c>
      <c r="G672" s="206">
        <f t="shared" si="107"/>
        <v>0</v>
      </c>
      <c r="H672" s="206">
        <f t="shared" si="107"/>
        <v>0</v>
      </c>
      <c r="I672" s="206">
        <f t="shared" si="107"/>
        <v>0</v>
      </c>
      <c r="J672" s="206">
        <f t="shared" si="107"/>
        <v>7042089.4500000002</v>
      </c>
    </row>
    <row r="673" spans="1:10" ht="11.25" customHeight="1" thickTop="1" x14ac:dyDescent="0.2">
      <c r="A673" s="242" t="s">
        <v>484</v>
      </c>
      <c r="B673" s="243" t="s">
        <v>485</v>
      </c>
      <c r="C673" s="221"/>
      <c r="D673" s="221"/>
      <c r="E673" s="221"/>
      <c r="F673" s="221"/>
      <c r="G673" s="221"/>
      <c r="H673" s="221"/>
      <c r="I673" s="221"/>
      <c r="J673" s="221"/>
    </row>
    <row r="674" spans="1:10" ht="11.25" customHeight="1" x14ac:dyDescent="0.2">
      <c r="A674" s="207"/>
      <c r="B674" s="244" t="s">
        <v>486</v>
      </c>
      <c r="C674" s="224">
        <f t="shared" ref="C674:J674" si="108">SUM(C675:C676)</f>
        <v>21218</v>
      </c>
      <c r="D674" s="224">
        <f t="shared" si="108"/>
        <v>21218</v>
      </c>
      <c r="E674" s="224">
        <f t="shared" si="108"/>
        <v>0</v>
      </c>
      <c r="F674" s="224">
        <f t="shared" si="108"/>
        <v>0</v>
      </c>
      <c r="G674" s="224">
        <f t="shared" si="108"/>
        <v>0</v>
      </c>
      <c r="H674" s="224">
        <f t="shared" si="108"/>
        <v>0</v>
      </c>
      <c r="I674" s="224">
        <f t="shared" si="108"/>
        <v>0</v>
      </c>
      <c r="J674" s="224">
        <f t="shared" si="108"/>
        <v>0</v>
      </c>
    </row>
    <row r="675" spans="1:10" ht="11.25" customHeight="1" x14ac:dyDescent="0.2">
      <c r="A675" s="164" t="s">
        <v>113</v>
      </c>
      <c r="B675" s="215" t="s">
        <v>114</v>
      </c>
      <c r="C675" s="212">
        <f>SUM(D675:F675)</f>
        <v>20600</v>
      </c>
      <c r="D675" s="212">
        <v>20600</v>
      </c>
      <c r="E675" s="221">
        <v>0</v>
      </c>
      <c r="F675" s="221">
        <v>0</v>
      </c>
      <c r="G675" s="221">
        <v>0</v>
      </c>
      <c r="H675" s="221">
        <v>0</v>
      </c>
      <c r="I675" s="221">
        <v>0</v>
      </c>
      <c r="J675" s="221">
        <v>0</v>
      </c>
    </row>
    <row r="676" spans="1:10" ht="11.25" customHeight="1" x14ac:dyDescent="0.2">
      <c r="A676" s="164" t="s">
        <v>115</v>
      </c>
      <c r="B676" s="215" t="s">
        <v>116</v>
      </c>
      <c r="C676" s="212">
        <f>SUM(D676:F676)</f>
        <v>618</v>
      </c>
      <c r="D676" s="212">
        <v>618</v>
      </c>
      <c r="E676" s="221">
        <v>0</v>
      </c>
      <c r="F676" s="221">
        <v>0</v>
      </c>
      <c r="G676" s="221">
        <v>0</v>
      </c>
      <c r="H676" s="221">
        <v>0</v>
      </c>
      <c r="I676" s="221">
        <v>0</v>
      </c>
      <c r="J676" s="221">
        <v>0</v>
      </c>
    </row>
    <row r="677" spans="1:10" ht="11.25" customHeight="1" x14ac:dyDescent="0.2">
      <c r="A677" s="207" t="s">
        <v>487</v>
      </c>
      <c r="B677" s="182" t="s">
        <v>488</v>
      </c>
      <c r="C677" s="245">
        <f t="shared" ref="C677:J677" si="109">SUM(C678:C689)</f>
        <v>7156805.4500000002</v>
      </c>
      <c r="D677" s="245">
        <f t="shared" si="109"/>
        <v>114716</v>
      </c>
      <c r="E677" s="245">
        <f t="shared" si="109"/>
        <v>0</v>
      </c>
      <c r="F677" s="245">
        <f t="shared" si="109"/>
        <v>7042089.4500000002</v>
      </c>
      <c r="G677" s="245">
        <f t="shared" si="109"/>
        <v>0</v>
      </c>
      <c r="H677" s="245">
        <f t="shared" si="109"/>
        <v>0</v>
      </c>
      <c r="I677" s="245">
        <f t="shared" si="109"/>
        <v>0</v>
      </c>
      <c r="J677" s="245">
        <f t="shared" si="109"/>
        <v>7042089.4500000002</v>
      </c>
    </row>
    <row r="678" spans="1:10" ht="11.25" customHeight="1" x14ac:dyDescent="0.2">
      <c r="A678" s="164" t="s">
        <v>113</v>
      </c>
      <c r="B678" s="215" t="s">
        <v>114</v>
      </c>
      <c r="C678" s="246">
        <f>SUM(D678)</f>
        <v>112656</v>
      </c>
      <c r="D678" s="246">
        <v>112656</v>
      </c>
      <c r="E678" s="221">
        <v>0</v>
      </c>
      <c r="F678" s="221">
        <v>0</v>
      </c>
      <c r="G678" s="221">
        <v>0</v>
      </c>
      <c r="H678" s="221">
        <v>0</v>
      </c>
      <c r="I678" s="221">
        <v>0</v>
      </c>
      <c r="J678" s="221">
        <v>0</v>
      </c>
    </row>
    <row r="679" spans="1:10" ht="11.25" customHeight="1" x14ac:dyDescent="0.2">
      <c r="A679" s="164" t="s">
        <v>115</v>
      </c>
      <c r="B679" s="215" t="s">
        <v>116</v>
      </c>
      <c r="C679" s="247">
        <f>SUM(D679)</f>
        <v>2060</v>
      </c>
      <c r="D679" s="247">
        <v>2060</v>
      </c>
      <c r="E679" s="221">
        <v>0</v>
      </c>
      <c r="F679" s="221">
        <v>0</v>
      </c>
      <c r="G679" s="221">
        <v>0</v>
      </c>
      <c r="H679" s="221">
        <v>0</v>
      </c>
      <c r="I679" s="221">
        <v>0</v>
      </c>
      <c r="J679" s="221">
        <v>0</v>
      </c>
    </row>
    <row r="680" spans="1:10" ht="12" customHeight="1" x14ac:dyDescent="0.2">
      <c r="A680" s="164" t="s">
        <v>125</v>
      </c>
      <c r="B680" s="132" t="s">
        <v>126</v>
      </c>
      <c r="C680" s="212"/>
      <c r="D680" s="221"/>
      <c r="E680" s="221"/>
      <c r="F680" s="221"/>
      <c r="G680" s="221"/>
      <c r="H680" s="221"/>
      <c r="I680" s="221"/>
      <c r="J680" s="221"/>
    </row>
    <row r="681" spans="1:10" ht="13.5" customHeight="1" x14ac:dyDescent="0.2">
      <c r="A681" s="216"/>
      <c r="B681" s="132" t="s">
        <v>127</v>
      </c>
      <c r="C681" s="212"/>
      <c r="D681" s="221"/>
      <c r="E681" s="221"/>
      <c r="F681" s="221"/>
      <c r="G681" s="221"/>
      <c r="H681" s="221"/>
      <c r="I681" s="221"/>
      <c r="J681" s="221"/>
    </row>
    <row r="682" spans="1:10" ht="12" customHeight="1" x14ac:dyDescent="0.2">
      <c r="A682" s="216"/>
      <c r="B682" s="132" t="s">
        <v>128</v>
      </c>
      <c r="C682" s="212"/>
      <c r="D682" s="221"/>
      <c r="E682" s="221"/>
      <c r="F682" s="221"/>
      <c r="G682" s="221"/>
      <c r="H682" s="221"/>
      <c r="I682" s="221"/>
      <c r="J682" s="221"/>
    </row>
    <row r="683" spans="1:10" ht="14.25" customHeight="1" x14ac:dyDescent="0.2">
      <c r="A683" s="216"/>
      <c r="B683" s="132" t="s">
        <v>129</v>
      </c>
      <c r="C683" s="212"/>
      <c r="D683" s="221"/>
      <c r="E683" s="221"/>
      <c r="F683" s="221"/>
      <c r="G683" s="221"/>
      <c r="H683" s="221"/>
      <c r="I683" s="221"/>
      <c r="J683" s="221"/>
    </row>
    <row r="684" spans="1:10" ht="12.75" customHeight="1" x14ac:dyDescent="0.2">
      <c r="A684" s="216"/>
      <c r="B684" s="135" t="s">
        <v>130</v>
      </c>
      <c r="C684" s="212">
        <f>SUM(F684)</f>
        <v>1056313.42</v>
      </c>
      <c r="D684" s="221">
        <v>0</v>
      </c>
      <c r="E684" s="221">
        <v>0</v>
      </c>
      <c r="F684" s="221">
        <f>SUM(G684:J684)</f>
        <v>1056313.42</v>
      </c>
      <c r="G684" s="221">
        <v>0</v>
      </c>
      <c r="H684" s="221">
        <v>0</v>
      </c>
      <c r="I684" s="221">
        <v>0</v>
      </c>
      <c r="J684" s="221">
        <v>1056313.42</v>
      </c>
    </row>
    <row r="685" spans="1:10" ht="11.25" customHeight="1" x14ac:dyDescent="0.2">
      <c r="A685" s="164" t="s">
        <v>131</v>
      </c>
      <c r="B685" s="132" t="s">
        <v>126</v>
      </c>
      <c r="C685" s="212"/>
      <c r="D685" s="221"/>
      <c r="E685" s="221"/>
      <c r="F685" s="221"/>
      <c r="G685" s="221"/>
      <c r="H685" s="221"/>
      <c r="I685" s="221"/>
      <c r="J685" s="221"/>
    </row>
    <row r="686" spans="1:10" ht="11.25" customHeight="1" x14ac:dyDescent="0.2">
      <c r="A686" s="216"/>
      <c r="B686" s="132" t="s">
        <v>127</v>
      </c>
      <c r="C686" s="212"/>
      <c r="D686" s="221"/>
      <c r="E686" s="221"/>
      <c r="F686" s="221"/>
      <c r="G686" s="221"/>
      <c r="H686" s="221"/>
      <c r="I686" s="221"/>
      <c r="J686" s="221"/>
    </row>
    <row r="687" spans="1:10" ht="11.25" customHeight="1" x14ac:dyDescent="0.2">
      <c r="A687" s="216"/>
      <c r="B687" s="132" t="s">
        <v>128</v>
      </c>
      <c r="C687" s="212"/>
      <c r="D687" s="221"/>
      <c r="E687" s="221"/>
      <c r="F687" s="221"/>
      <c r="G687" s="221"/>
      <c r="H687" s="221"/>
      <c r="I687" s="221"/>
      <c r="J687" s="221"/>
    </row>
    <row r="688" spans="1:10" ht="11.25" customHeight="1" x14ac:dyDescent="0.2">
      <c r="A688" s="216"/>
      <c r="B688" s="132" t="s">
        <v>129</v>
      </c>
      <c r="C688" s="212"/>
      <c r="D688" s="221"/>
      <c r="E688" s="221"/>
      <c r="F688" s="221"/>
      <c r="G688" s="221"/>
      <c r="H688" s="221"/>
      <c r="I688" s="221"/>
      <c r="J688" s="221"/>
    </row>
    <row r="689" spans="1:10" ht="11.25" customHeight="1" x14ac:dyDescent="0.2">
      <c r="A689" s="207"/>
      <c r="B689" s="168" t="s">
        <v>130</v>
      </c>
      <c r="C689" s="209">
        <f>SUM(D689:F689)</f>
        <v>5985776.0300000003</v>
      </c>
      <c r="D689" s="224">
        <v>0</v>
      </c>
      <c r="E689" s="224">
        <v>0</v>
      </c>
      <c r="F689" s="224">
        <v>5985776.0300000003</v>
      </c>
      <c r="G689" s="224">
        <v>0</v>
      </c>
      <c r="H689" s="224">
        <v>0</v>
      </c>
      <c r="I689" s="224">
        <v>0</v>
      </c>
      <c r="J689" s="224">
        <v>5985776.0300000003</v>
      </c>
    </row>
    <row r="690" spans="1:10" ht="11.25" customHeight="1" x14ac:dyDescent="0.2">
      <c r="A690" s="207" t="s">
        <v>489</v>
      </c>
      <c r="B690" s="182" t="s">
        <v>490</v>
      </c>
      <c r="C690" s="224">
        <f t="shared" ref="C690:J690" si="110">SUM(C691:C691)</f>
        <v>14512</v>
      </c>
      <c r="D690" s="224">
        <f t="shared" si="110"/>
        <v>14512</v>
      </c>
      <c r="E690" s="224">
        <f t="shared" si="110"/>
        <v>0</v>
      </c>
      <c r="F690" s="224">
        <f t="shared" si="110"/>
        <v>0</v>
      </c>
      <c r="G690" s="224">
        <f t="shared" si="110"/>
        <v>0</v>
      </c>
      <c r="H690" s="224">
        <f t="shared" si="110"/>
        <v>0</v>
      </c>
      <c r="I690" s="224">
        <f t="shared" si="110"/>
        <v>0</v>
      </c>
      <c r="J690" s="224">
        <f t="shared" si="110"/>
        <v>0</v>
      </c>
    </row>
    <row r="691" spans="1:10" ht="11.25" customHeight="1" x14ac:dyDescent="0.2">
      <c r="A691" s="237" t="s">
        <v>113</v>
      </c>
      <c r="B691" s="238" t="s">
        <v>114</v>
      </c>
      <c r="C691" s="236">
        <f>SUM(D691,F691)</f>
        <v>14512</v>
      </c>
      <c r="D691" s="236">
        <v>14512</v>
      </c>
      <c r="E691" s="239">
        <v>0</v>
      </c>
      <c r="F691" s="239">
        <v>0</v>
      </c>
      <c r="G691" s="239">
        <v>0</v>
      </c>
      <c r="H691" s="239">
        <v>0</v>
      </c>
      <c r="I691" s="239">
        <v>0</v>
      </c>
      <c r="J691" s="239">
        <v>0</v>
      </c>
    </row>
    <row r="692" spans="1:10" ht="11.25" customHeight="1" x14ac:dyDescent="0.2">
      <c r="A692" s="207" t="s">
        <v>491</v>
      </c>
      <c r="B692" s="182" t="s">
        <v>492</v>
      </c>
      <c r="C692" s="224">
        <f t="shared" ref="C692:J692" si="111">SUM(C695:C706)</f>
        <v>234700</v>
      </c>
      <c r="D692" s="224">
        <f t="shared" si="111"/>
        <v>234700</v>
      </c>
      <c r="E692" s="224">
        <f t="shared" si="111"/>
        <v>0</v>
      </c>
      <c r="F692" s="224">
        <f t="shared" si="111"/>
        <v>0</v>
      </c>
      <c r="G692" s="224">
        <f t="shared" si="111"/>
        <v>0</v>
      </c>
      <c r="H692" s="224">
        <f t="shared" si="111"/>
        <v>0</v>
      </c>
      <c r="I692" s="224">
        <f t="shared" si="111"/>
        <v>0</v>
      </c>
      <c r="J692" s="224">
        <f t="shared" si="111"/>
        <v>0</v>
      </c>
    </row>
    <row r="693" spans="1:10" ht="11.25" customHeight="1" x14ac:dyDescent="0.2">
      <c r="A693" s="164" t="s">
        <v>196</v>
      </c>
      <c r="B693" s="215" t="s">
        <v>197</v>
      </c>
      <c r="C693" s="212"/>
      <c r="D693" s="221"/>
      <c r="E693" s="221"/>
      <c r="F693" s="221"/>
      <c r="G693" s="221"/>
      <c r="H693" s="221"/>
      <c r="I693" s="221"/>
      <c r="J693" s="221"/>
    </row>
    <row r="694" spans="1:10" ht="11.25" customHeight="1" x14ac:dyDescent="0.2">
      <c r="A694" s="164"/>
      <c r="B694" s="215" t="s">
        <v>198</v>
      </c>
      <c r="C694" s="212"/>
      <c r="D694" s="221"/>
      <c r="E694" s="221"/>
      <c r="F694" s="221"/>
      <c r="G694" s="221"/>
      <c r="H694" s="221"/>
      <c r="I694" s="221"/>
      <c r="J694" s="221"/>
    </row>
    <row r="695" spans="1:10" ht="11.25" customHeight="1" x14ac:dyDescent="0.2">
      <c r="A695" s="164"/>
      <c r="B695" s="215" t="s">
        <v>199</v>
      </c>
      <c r="C695" s="212">
        <f>SUM(D695,F695)</f>
        <v>1200</v>
      </c>
      <c r="D695" s="212">
        <v>1200</v>
      </c>
      <c r="E695" s="221">
        <v>0</v>
      </c>
      <c r="F695" s="221">
        <v>0</v>
      </c>
      <c r="G695" s="221">
        <v>0</v>
      </c>
      <c r="H695" s="221">
        <v>0</v>
      </c>
      <c r="I695" s="221">
        <v>0</v>
      </c>
      <c r="J695" s="221">
        <v>0</v>
      </c>
    </row>
    <row r="696" spans="1:10" ht="11.25" customHeight="1" x14ac:dyDescent="0.2">
      <c r="A696" s="164" t="s">
        <v>152</v>
      </c>
      <c r="B696" s="215" t="s">
        <v>153</v>
      </c>
      <c r="C696" s="212"/>
      <c r="D696" s="221"/>
      <c r="E696" s="221"/>
      <c r="F696" s="221"/>
      <c r="G696" s="221"/>
      <c r="H696" s="221"/>
      <c r="I696" s="221"/>
      <c r="J696" s="221"/>
    </row>
    <row r="697" spans="1:10" ht="11.25" customHeight="1" x14ac:dyDescent="0.2">
      <c r="A697" s="243"/>
      <c r="B697" s="215" t="s">
        <v>154</v>
      </c>
      <c r="C697" s="212">
        <f>SUM(D697:F697)</f>
        <v>2000</v>
      </c>
      <c r="D697" s="212">
        <v>2000</v>
      </c>
      <c r="E697" s="221">
        <v>0</v>
      </c>
      <c r="F697" s="221">
        <v>0</v>
      </c>
      <c r="G697" s="221">
        <v>0</v>
      </c>
      <c r="H697" s="221">
        <v>0</v>
      </c>
      <c r="I697" s="221">
        <v>0</v>
      </c>
      <c r="J697" s="221">
        <v>0</v>
      </c>
    </row>
    <row r="698" spans="1:10" ht="11.25" customHeight="1" x14ac:dyDescent="0.2">
      <c r="A698" s="164" t="s">
        <v>97</v>
      </c>
      <c r="B698" s="215" t="s">
        <v>98</v>
      </c>
      <c r="C698" s="212">
        <f>SUM(D698:F698)</f>
        <v>100000</v>
      </c>
      <c r="D698" s="212">
        <v>100000</v>
      </c>
      <c r="E698" s="221">
        <v>0</v>
      </c>
      <c r="F698" s="221">
        <v>0</v>
      </c>
      <c r="G698" s="221">
        <v>0</v>
      </c>
      <c r="H698" s="221">
        <v>0</v>
      </c>
      <c r="I698" s="221">
        <v>0</v>
      </c>
      <c r="J698" s="221">
        <v>0</v>
      </c>
    </row>
    <row r="699" spans="1:10" ht="11.25" customHeight="1" x14ac:dyDescent="0.2">
      <c r="A699" s="164" t="s">
        <v>99</v>
      </c>
      <c r="B699" s="215" t="s">
        <v>172</v>
      </c>
      <c r="C699" s="221"/>
      <c r="D699" s="221"/>
      <c r="E699" s="221"/>
      <c r="F699" s="221"/>
      <c r="G699" s="221"/>
      <c r="H699" s="221"/>
      <c r="I699" s="221"/>
      <c r="J699" s="221"/>
    </row>
    <row r="700" spans="1:10" ht="11.25" customHeight="1" x14ac:dyDescent="0.2">
      <c r="A700" s="164"/>
      <c r="B700" s="215" t="s">
        <v>173</v>
      </c>
      <c r="C700" s="221"/>
      <c r="D700" s="221"/>
      <c r="E700" s="221"/>
      <c r="F700" s="221"/>
      <c r="G700" s="221"/>
      <c r="H700" s="221"/>
      <c r="I700" s="221"/>
      <c r="J700" s="221"/>
    </row>
    <row r="701" spans="1:10" ht="11.25" customHeight="1" x14ac:dyDescent="0.2">
      <c r="A701" s="164"/>
      <c r="B701" s="215" t="s">
        <v>174</v>
      </c>
      <c r="C701" s="221"/>
      <c r="D701" s="221"/>
      <c r="E701" s="221"/>
      <c r="F701" s="221"/>
      <c r="G701" s="221"/>
      <c r="H701" s="221"/>
      <c r="I701" s="221"/>
      <c r="J701" s="221"/>
    </row>
    <row r="702" spans="1:10" ht="11.25" customHeight="1" x14ac:dyDescent="0.2">
      <c r="A702" s="164"/>
      <c r="B702" s="215" t="s">
        <v>175</v>
      </c>
      <c r="C702" s="212">
        <f>SUM(D702,F702)</f>
        <v>4500</v>
      </c>
      <c r="D702" s="221">
        <v>4500</v>
      </c>
      <c r="E702" s="221">
        <v>0</v>
      </c>
      <c r="F702" s="221">
        <v>0</v>
      </c>
      <c r="G702" s="221">
        <v>0</v>
      </c>
      <c r="H702" s="221">
        <v>0</v>
      </c>
      <c r="I702" s="221">
        <v>0</v>
      </c>
      <c r="J702" s="221">
        <v>0</v>
      </c>
    </row>
    <row r="703" spans="1:10" ht="11.25" customHeight="1" x14ac:dyDescent="0.2">
      <c r="A703" s="164" t="s">
        <v>113</v>
      </c>
      <c r="B703" s="215" t="s">
        <v>114</v>
      </c>
      <c r="C703" s="212">
        <f>SUM(D703,F703)</f>
        <v>75000</v>
      </c>
      <c r="D703" s="221">
        <v>75000</v>
      </c>
      <c r="E703" s="221">
        <v>0</v>
      </c>
      <c r="F703" s="221">
        <v>0</v>
      </c>
      <c r="G703" s="221">
        <v>0</v>
      </c>
      <c r="H703" s="221">
        <v>0</v>
      </c>
      <c r="I703" s="221">
        <v>0</v>
      </c>
      <c r="J703" s="221">
        <v>0</v>
      </c>
    </row>
    <row r="704" spans="1:10" ht="11.25" customHeight="1" x14ac:dyDescent="0.2">
      <c r="A704" s="164" t="s">
        <v>115</v>
      </c>
      <c r="B704" s="215" t="s">
        <v>116</v>
      </c>
      <c r="C704" s="212">
        <f>SUM(D704,F704)</f>
        <v>15000</v>
      </c>
      <c r="D704" s="221">
        <v>15000</v>
      </c>
      <c r="E704" s="221">
        <v>0</v>
      </c>
      <c r="F704" s="221">
        <v>0</v>
      </c>
      <c r="G704" s="221">
        <v>0</v>
      </c>
      <c r="H704" s="221">
        <v>0</v>
      </c>
      <c r="I704" s="221">
        <v>0</v>
      </c>
      <c r="J704" s="221">
        <v>0</v>
      </c>
    </row>
    <row r="705" spans="1:10" ht="11.25" customHeight="1" x14ac:dyDescent="0.2">
      <c r="A705" s="164" t="s">
        <v>117</v>
      </c>
      <c r="B705" s="215" t="s">
        <v>118</v>
      </c>
      <c r="C705" s="212">
        <f>SUM(D705,F705)</f>
        <v>25000</v>
      </c>
      <c r="D705" s="221">
        <v>25000</v>
      </c>
      <c r="E705" s="221">
        <v>0</v>
      </c>
      <c r="F705" s="221">
        <v>0</v>
      </c>
      <c r="G705" s="221">
        <v>0</v>
      </c>
      <c r="H705" s="221">
        <v>0</v>
      </c>
      <c r="I705" s="221">
        <v>0</v>
      </c>
      <c r="J705" s="221">
        <v>0</v>
      </c>
    </row>
    <row r="706" spans="1:10" ht="11.25" customHeight="1" x14ac:dyDescent="0.2">
      <c r="A706" s="164" t="s">
        <v>121</v>
      </c>
      <c r="B706" s="217" t="s">
        <v>122</v>
      </c>
      <c r="C706" s="212">
        <f>SUM(D706,F706)</f>
        <v>12000</v>
      </c>
      <c r="D706" s="221">
        <v>12000</v>
      </c>
      <c r="E706" s="221">
        <v>0</v>
      </c>
      <c r="F706" s="221">
        <v>0</v>
      </c>
      <c r="G706" s="221">
        <v>0</v>
      </c>
      <c r="H706" s="221">
        <v>0</v>
      </c>
      <c r="I706" s="221">
        <v>0</v>
      </c>
      <c r="J706" s="221">
        <v>0</v>
      </c>
    </row>
    <row r="707" spans="1:10" ht="11.25" customHeight="1" thickBot="1" x14ac:dyDescent="0.25">
      <c r="A707" s="204" t="s">
        <v>60</v>
      </c>
      <c r="B707" s="248" t="s">
        <v>61</v>
      </c>
      <c r="C707" s="206">
        <f t="shared" ref="C707:J707" si="112">SUM(C708,C714,C723)</f>
        <v>1699482</v>
      </c>
      <c r="D707" s="206">
        <f t="shared" si="112"/>
        <v>1699482</v>
      </c>
      <c r="E707" s="206">
        <f t="shared" si="112"/>
        <v>0</v>
      </c>
      <c r="F707" s="206">
        <f t="shared" si="112"/>
        <v>0</v>
      </c>
      <c r="G707" s="206">
        <f t="shared" si="112"/>
        <v>0</v>
      </c>
      <c r="H707" s="206">
        <f t="shared" si="112"/>
        <v>0</v>
      </c>
      <c r="I707" s="206">
        <f t="shared" si="112"/>
        <v>0</v>
      </c>
      <c r="J707" s="206">
        <f t="shared" si="112"/>
        <v>0</v>
      </c>
    </row>
    <row r="708" spans="1:10" ht="11.25" customHeight="1" thickTop="1" x14ac:dyDescent="0.2">
      <c r="A708" s="223" t="s">
        <v>493</v>
      </c>
      <c r="B708" s="182" t="s">
        <v>494</v>
      </c>
      <c r="C708" s="209">
        <f>SUM(C709:C713)</f>
        <v>284237</v>
      </c>
      <c r="D708" s="209">
        <f t="shared" ref="D708:J708" si="113">SUM(D709:D713)</f>
        <v>284237</v>
      </c>
      <c r="E708" s="209">
        <f t="shared" si="113"/>
        <v>0</v>
      </c>
      <c r="F708" s="209">
        <f t="shared" si="113"/>
        <v>0</v>
      </c>
      <c r="G708" s="209">
        <f t="shared" si="113"/>
        <v>0</v>
      </c>
      <c r="H708" s="209">
        <f t="shared" si="113"/>
        <v>0</v>
      </c>
      <c r="I708" s="209">
        <f t="shared" si="113"/>
        <v>0</v>
      </c>
      <c r="J708" s="209">
        <f t="shared" si="113"/>
        <v>0</v>
      </c>
    </row>
    <row r="709" spans="1:10" ht="11.25" customHeight="1" x14ac:dyDescent="0.2">
      <c r="A709" s="164" t="s">
        <v>113</v>
      </c>
      <c r="B709" s="215" t="s">
        <v>495</v>
      </c>
      <c r="C709" s="212">
        <f>SUM(D709,F709)</f>
        <v>173000</v>
      </c>
      <c r="D709" s="221">
        <v>173000</v>
      </c>
      <c r="E709" s="221">
        <v>0</v>
      </c>
      <c r="F709" s="221">
        <v>0</v>
      </c>
      <c r="G709" s="221">
        <v>0</v>
      </c>
      <c r="H709" s="221">
        <v>0</v>
      </c>
      <c r="I709" s="221">
        <v>0</v>
      </c>
      <c r="J709" s="221">
        <v>0</v>
      </c>
    </row>
    <row r="710" spans="1:10" ht="11.25" customHeight="1" x14ac:dyDescent="0.2">
      <c r="A710" s="164" t="s">
        <v>115</v>
      </c>
      <c r="B710" s="215" t="s">
        <v>116</v>
      </c>
      <c r="C710" s="212">
        <f>SUM(D710,F710)</f>
        <v>50</v>
      </c>
      <c r="D710" s="221">
        <v>50</v>
      </c>
      <c r="E710" s="221">
        <v>0</v>
      </c>
      <c r="F710" s="221">
        <v>0</v>
      </c>
      <c r="G710" s="221">
        <v>0</v>
      </c>
      <c r="H710" s="221">
        <v>0</v>
      </c>
      <c r="I710" s="221">
        <v>0</v>
      </c>
      <c r="J710" s="221">
        <v>0</v>
      </c>
    </row>
    <row r="711" spans="1:10" ht="11.25" customHeight="1" x14ac:dyDescent="0.2">
      <c r="A711" s="164" t="s">
        <v>117</v>
      </c>
      <c r="B711" s="215" t="s">
        <v>118</v>
      </c>
      <c r="C711" s="212">
        <f>SUM(D711,F711)</f>
        <v>450</v>
      </c>
      <c r="D711" s="221">
        <v>450</v>
      </c>
      <c r="E711" s="221">
        <v>0</v>
      </c>
      <c r="F711" s="221">
        <v>0</v>
      </c>
      <c r="G711" s="221">
        <v>0</v>
      </c>
      <c r="H711" s="221">
        <v>0</v>
      </c>
      <c r="I711" s="221">
        <v>0</v>
      </c>
      <c r="J711" s="221">
        <v>0</v>
      </c>
    </row>
    <row r="712" spans="1:10" ht="11.25" customHeight="1" x14ac:dyDescent="0.2">
      <c r="A712" s="116" t="s">
        <v>332</v>
      </c>
      <c r="B712" s="121" t="s">
        <v>221</v>
      </c>
      <c r="C712" s="212"/>
      <c r="D712" s="221"/>
      <c r="E712" s="221"/>
      <c r="F712" s="221"/>
      <c r="G712" s="221"/>
      <c r="H712" s="221"/>
      <c r="I712" s="221"/>
      <c r="J712" s="221"/>
    </row>
    <row r="713" spans="1:10" ht="11.25" customHeight="1" x14ac:dyDescent="0.2">
      <c r="A713" s="116"/>
      <c r="B713" s="121" t="s">
        <v>333</v>
      </c>
      <c r="C713" s="212">
        <f>SUM(D713)</f>
        <v>110737</v>
      </c>
      <c r="D713" s="221">
        <v>110737</v>
      </c>
      <c r="E713" s="221">
        <v>0</v>
      </c>
      <c r="F713" s="221">
        <v>0</v>
      </c>
      <c r="G713" s="221">
        <v>0</v>
      </c>
      <c r="H713" s="221">
        <v>0</v>
      </c>
      <c r="I713" s="221">
        <v>0</v>
      </c>
      <c r="J713" s="221">
        <v>0</v>
      </c>
    </row>
    <row r="714" spans="1:10" ht="11.25" customHeight="1" x14ac:dyDescent="0.2">
      <c r="A714" s="207" t="s">
        <v>496</v>
      </c>
      <c r="B714" s="182" t="s">
        <v>497</v>
      </c>
      <c r="C714" s="209">
        <f>SUM(C715:C722)</f>
        <v>1171487</v>
      </c>
      <c r="D714" s="209">
        <f t="shared" ref="D714:J714" si="114">SUM(D715:D722)</f>
        <v>1171487</v>
      </c>
      <c r="E714" s="209">
        <f t="shared" si="114"/>
        <v>0</v>
      </c>
      <c r="F714" s="209">
        <f t="shared" si="114"/>
        <v>0</v>
      </c>
      <c r="G714" s="209">
        <f t="shared" si="114"/>
        <v>0</v>
      </c>
      <c r="H714" s="209">
        <f t="shared" si="114"/>
        <v>0</v>
      </c>
      <c r="I714" s="209">
        <f t="shared" si="114"/>
        <v>0</v>
      </c>
      <c r="J714" s="209">
        <f t="shared" si="114"/>
        <v>0</v>
      </c>
    </row>
    <row r="715" spans="1:10" ht="11.25" customHeight="1" x14ac:dyDescent="0.2">
      <c r="A715" s="164" t="s">
        <v>498</v>
      </c>
      <c r="B715" s="215" t="s">
        <v>499</v>
      </c>
      <c r="C715" s="212"/>
      <c r="D715" s="212"/>
      <c r="E715" s="212"/>
      <c r="F715" s="212"/>
      <c r="G715" s="212"/>
      <c r="H715" s="212"/>
      <c r="I715" s="212"/>
      <c r="J715" s="212"/>
    </row>
    <row r="716" spans="1:10" ht="11.25" customHeight="1" x14ac:dyDescent="0.2">
      <c r="A716" s="243"/>
      <c r="B716" s="215" t="s">
        <v>500</v>
      </c>
      <c r="C716" s="212">
        <f>SUM(D716)</f>
        <v>1205</v>
      </c>
      <c r="D716" s="212">
        <v>1205</v>
      </c>
      <c r="E716" s="212">
        <v>0</v>
      </c>
      <c r="F716" s="212">
        <v>0</v>
      </c>
      <c r="G716" s="212">
        <v>0</v>
      </c>
      <c r="H716" s="212">
        <v>0</v>
      </c>
      <c r="I716" s="212">
        <v>0</v>
      </c>
      <c r="J716" s="212">
        <v>0</v>
      </c>
    </row>
    <row r="717" spans="1:10" ht="11.25" customHeight="1" x14ac:dyDescent="0.2">
      <c r="A717" s="164" t="s">
        <v>113</v>
      </c>
      <c r="B717" s="215" t="s">
        <v>495</v>
      </c>
      <c r="C717" s="212">
        <f>SUM(D717,F717)</f>
        <v>142480</v>
      </c>
      <c r="D717" s="221">
        <v>142480</v>
      </c>
      <c r="E717" s="221">
        <v>0</v>
      </c>
      <c r="F717" s="221">
        <v>0</v>
      </c>
      <c r="G717" s="221">
        <v>0</v>
      </c>
      <c r="H717" s="221">
        <v>0</v>
      </c>
      <c r="I717" s="221">
        <v>0</v>
      </c>
      <c r="J717" s="221">
        <v>0</v>
      </c>
    </row>
    <row r="718" spans="1:10" ht="11.25" customHeight="1" x14ac:dyDescent="0.2">
      <c r="A718" s="164" t="s">
        <v>115</v>
      </c>
      <c r="B718" s="215" t="s">
        <v>116</v>
      </c>
      <c r="C718" s="212">
        <f>SUM(D718,F718)</f>
        <v>7136</v>
      </c>
      <c r="D718" s="221">
        <f>36+1100+2000+2000+2000</f>
        <v>7136</v>
      </c>
      <c r="E718" s="221">
        <v>0</v>
      </c>
      <c r="F718" s="221">
        <v>0</v>
      </c>
      <c r="G718" s="221">
        <v>0</v>
      </c>
      <c r="H718" s="221">
        <v>0</v>
      </c>
      <c r="I718" s="221">
        <v>0</v>
      </c>
      <c r="J718" s="221">
        <v>0</v>
      </c>
    </row>
    <row r="719" spans="1:10" ht="11.25" customHeight="1" x14ac:dyDescent="0.2">
      <c r="A719" s="164" t="s">
        <v>117</v>
      </c>
      <c r="B719" s="215" t="s">
        <v>118</v>
      </c>
      <c r="C719" s="212">
        <f>SUM(D719,F719)</f>
        <v>70</v>
      </c>
      <c r="D719" s="221">
        <f>50+10+10</f>
        <v>70</v>
      </c>
      <c r="E719" s="221">
        <v>0</v>
      </c>
      <c r="F719" s="221">
        <v>0</v>
      </c>
      <c r="G719" s="221">
        <v>0</v>
      </c>
      <c r="H719" s="221">
        <v>0</v>
      </c>
      <c r="I719" s="221">
        <v>0</v>
      </c>
      <c r="J719" s="221">
        <v>0</v>
      </c>
    </row>
    <row r="720" spans="1:10" ht="11.25" customHeight="1" x14ac:dyDescent="0.2">
      <c r="A720" s="164" t="s">
        <v>121</v>
      </c>
      <c r="B720" s="165" t="s">
        <v>238</v>
      </c>
      <c r="C720" s="212">
        <f>SUM(D720,F720)</f>
        <v>1700</v>
      </c>
      <c r="D720" s="221">
        <f>900+300+250+250</f>
        <v>1700</v>
      </c>
      <c r="E720" s="221">
        <v>0</v>
      </c>
      <c r="F720" s="221">
        <v>0</v>
      </c>
      <c r="G720" s="221">
        <v>0</v>
      </c>
      <c r="H720" s="221">
        <v>0</v>
      </c>
      <c r="I720" s="221">
        <v>0</v>
      </c>
      <c r="J720" s="221">
        <v>0</v>
      </c>
    </row>
    <row r="721" spans="1:10" ht="11.25" customHeight="1" x14ac:dyDescent="0.2">
      <c r="A721" s="116" t="s">
        <v>332</v>
      </c>
      <c r="B721" s="121" t="s">
        <v>221</v>
      </c>
      <c r="C721" s="212"/>
      <c r="D721" s="221"/>
      <c r="E721" s="221"/>
      <c r="F721" s="221"/>
      <c r="G721" s="221"/>
      <c r="H721" s="221"/>
      <c r="I721" s="221"/>
      <c r="J721" s="221"/>
    </row>
    <row r="722" spans="1:10" ht="11.25" customHeight="1" x14ac:dyDescent="0.2">
      <c r="A722" s="116"/>
      <c r="B722" s="121" t="s">
        <v>333</v>
      </c>
      <c r="C722" s="212">
        <f>SUM(D722,F722)</f>
        <v>1018896</v>
      </c>
      <c r="D722" s="221">
        <v>1018896</v>
      </c>
      <c r="E722" s="221">
        <v>0</v>
      </c>
      <c r="F722" s="221">
        <v>0</v>
      </c>
      <c r="G722" s="221">
        <v>0</v>
      </c>
      <c r="H722" s="221">
        <v>0</v>
      </c>
      <c r="I722" s="221">
        <v>0</v>
      </c>
      <c r="J722" s="221">
        <v>0</v>
      </c>
    </row>
    <row r="723" spans="1:10" ht="11.25" customHeight="1" x14ac:dyDescent="0.2">
      <c r="A723" s="207" t="s">
        <v>384</v>
      </c>
      <c r="B723" s="182" t="s">
        <v>96</v>
      </c>
      <c r="C723" s="224">
        <f t="shared" ref="C723:J723" si="115">C725+C726</f>
        <v>243758</v>
      </c>
      <c r="D723" s="224">
        <f t="shared" si="115"/>
        <v>243758</v>
      </c>
      <c r="E723" s="224">
        <f t="shared" si="115"/>
        <v>0</v>
      </c>
      <c r="F723" s="224">
        <f t="shared" si="115"/>
        <v>0</v>
      </c>
      <c r="G723" s="224">
        <f t="shared" si="115"/>
        <v>0</v>
      </c>
      <c r="H723" s="224">
        <f t="shared" si="115"/>
        <v>0</v>
      </c>
      <c r="I723" s="224">
        <f t="shared" si="115"/>
        <v>0</v>
      </c>
      <c r="J723" s="224">
        <f t="shared" si="115"/>
        <v>0</v>
      </c>
    </row>
    <row r="724" spans="1:10" ht="11.25" customHeight="1" x14ac:dyDescent="0.2">
      <c r="A724" s="237" t="s">
        <v>247</v>
      </c>
      <c r="B724" s="249" t="s">
        <v>248</v>
      </c>
      <c r="C724" s="236"/>
      <c r="D724" s="239"/>
      <c r="E724" s="239"/>
      <c r="F724" s="239"/>
      <c r="G724" s="239"/>
      <c r="H724" s="239"/>
      <c r="I724" s="239"/>
      <c r="J724" s="239"/>
    </row>
    <row r="725" spans="1:10" ht="11.25" customHeight="1" x14ac:dyDescent="0.2">
      <c r="A725" s="164"/>
      <c r="B725" s="217" t="s">
        <v>501</v>
      </c>
      <c r="C725" s="212">
        <f>SUM(D725)</f>
        <v>144298</v>
      </c>
      <c r="D725" s="221">
        <f>14000+110298+10000+10000</f>
        <v>144298</v>
      </c>
      <c r="E725" s="221">
        <v>0</v>
      </c>
      <c r="F725" s="221">
        <v>0</v>
      </c>
      <c r="G725" s="221">
        <v>0</v>
      </c>
      <c r="H725" s="221">
        <v>0</v>
      </c>
      <c r="I725" s="221">
        <v>0</v>
      </c>
      <c r="J725" s="221">
        <v>0</v>
      </c>
    </row>
    <row r="726" spans="1:10" ht="21.75" customHeight="1" x14ac:dyDescent="0.2">
      <c r="A726" s="250" t="s">
        <v>329</v>
      </c>
      <c r="B726" s="240" t="s">
        <v>461</v>
      </c>
      <c r="C726" s="209">
        <f>SUM(D726)</f>
        <v>99460</v>
      </c>
      <c r="D726" s="224">
        <f>1000+20000+56460+22000</f>
        <v>99460</v>
      </c>
      <c r="E726" s="224">
        <v>0</v>
      </c>
      <c r="F726" s="224">
        <v>0</v>
      </c>
      <c r="G726" s="224">
        <v>0</v>
      </c>
      <c r="H726" s="224">
        <v>0</v>
      </c>
      <c r="I726" s="224">
        <v>0</v>
      </c>
      <c r="J726" s="224">
        <v>0</v>
      </c>
    </row>
    <row r="727" spans="1:10" ht="11.25" customHeight="1" thickBot="1" x14ac:dyDescent="0.25">
      <c r="A727" s="204" t="s">
        <v>62</v>
      </c>
      <c r="B727" s="248" t="s">
        <v>63</v>
      </c>
      <c r="C727" s="251">
        <f t="shared" ref="C727:J727" si="116">C728</f>
        <v>14000</v>
      </c>
      <c r="D727" s="251">
        <f t="shared" si="116"/>
        <v>14000</v>
      </c>
      <c r="E727" s="251">
        <f t="shared" si="116"/>
        <v>0</v>
      </c>
      <c r="F727" s="251">
        <f t="shared" si="116"/>
        <v>0</v>
      </c>
      <c r="G727" s="251">
        <f t="shared" si="116"/>
        <v>0</v>
      </c>
      <c r="H727" s="251">
        <f t="shared" si="116"/>
        <v>0</v>
      </c>
      <c r="I727" s="251">
        <f t="shared" si="116"/>
        <v>0</v>
      </c>
      <c r="J727" s="251">
        <f t="shared" si="116"/>
        <v>0</v>
      </c>
    </row>
    <row r="728" spans="1:10" ht="11.25" customHeight="1" thickTop="1" x14ac:dyDescent="0.2">
      <c r="A728" s="252" t="s">
        <v>502</v>
      </c>
      <c r="B728" s="253" t="s">
        <v>503</v>
      </c>
      <c r="C728" s="254">
        <f t="shared" ref="C728:J728" si="117">SUM(C729:C729)</f>
        <v>14000</v>
      </c>
      <c r="D728" s="254">
        <f t="shared" si="117"/>
        <v>14000</v>
      </c>
      <c r="E728" s="254">
        <f t="shared" si="117"/>
        <v>0</v>
      </c>
      <c r="F728" s="254">
        <f t="shared" si="117"/>
        <v>0</v>
      </c>
      <c r="G728" s="254">
        <f t="shared" si="117"/>
        <v>0</v>
      </c>
      <c r="H728" s="254">
        <f t="shared" si="117"/>
        <v>0</v>
      </c>
      <c r="I728" s="254">
        <f t="shared" si="117"/>
        <v>0</v>
      </c>
      <c r="J728" s="254">
        <f t="shared" si="117"/>
        <v>0</v>
      </c>
    </row>
    <row r="729" spans="1:10" ht="11.25" customHeight="1" x14ac:dyDescent="0.2">
      <c r="A729" s="255" t="s">
        <v>97</v>
      </c>
      <c r="B729" s="217" t="s">
        <v>98</v>
      </c>
      <c r="C729" s="256">
        <f>D729</f>
        <v>14000</v>
      </c>
      <c r="D729" s="256">
        <v>14000</v>
      </c>
      <c r="E729" s="256">
        <v>0</v>
      </c>
      <c r="F729" s="256">
        <v>0</v>
      </c>
      <c r="G729" s="256">
        <v>0</v>
      </c>
      <c r="H729" s="256">
        <v>0</v>
      </c>
      <c r="I729" s="256">
        <v>0</v>
      </c>
      <c r="J729" s="256">
        <v>0</v>
      </c>
    </row>
    <row r="730" spans="1:10" ht="11.25" customHeight="1" x14ac:dyDescent="0.2">
      <c r="A730" s="183"/>
      <c r="B730" s="1233"/>
      <c r="C730" s="184"/>
      <c r="D730" s="184"/>
      <c r="E730" s="184"/>
      <c r="F730" s="184"/>
      <c r="G730" s="184"/>
      <c r="H730" s="184"/>
      <c r="I730" s="184"/>
      <c r="J730" s="184"/>
    </row>
    <row r="731" spans="1:10" ht="11.25" customHeight="1" x14ac:dyDescent="0.2">
      <c r="A731" s="183"/>
      <c r="B731" s="1233"/>
      <c r="C731" s="184"/>
      <c r="D731" s="184"/>
      <c r="E731" s="184"/>
      <c r="F731" s="184"/>
      <c r="G731" s="184"/>
      <c r="H731" s="184"/>
      <c r="I731" s="184"/>
      <c r="J731" s="184"/>
    </row>
    <row r="732" spans="1:10" ht="11.25" customHeight="1" x14ac:dyDescent="0.2">
      <c r="A732" s="183"/>
      <c r="B732" s="368" t="s">
        <v>504</v>
      </c>
      <c r="C732" s="184">
        <f>SUM(C544,C596,C662,C573,C601,C650,C707,C541,C672,C727,C569,C590)</f>
        <v>89809834.13000001</v>
      </c>
      <c r="D732" s="184">
        <f t="shared" ref="D732:J732" si="118">SUM(D544,D596,D662,D573,D601,D650,D707,D541,D672,D727,D569,D590)</f>
        <v>9714458.4700000007</v>
      </c>
      <c r="E732" s="184">
        <f t="shared" si="118"/>
        <v>2767045.87</v>
      </c>
      <c r="F732" s="184">
        <f t="shared" si="118"/>
        <v>80095375.660000011</v>
      </c>
      <c r="G732" s="184">
        <f t="shared" si="118"/>
        <v>45967578.409999996</v>
      </c>
      <c r="H732" s="184">
        <f t="shared" si="118"/>
        <v>2000</v>
      </c>
      <c r="I732" s="184">
        <f t="shared" si="118"/>
        <v>0</v>
      </c>
      <c r="J732" s="184">
        <f t="shared" si="118"/>
        <v>34125797.25</v>
      </c>
    </row>
    <row r="733" spans="1:10" ht="5.25" hidden="1" customHeight="1" x14ac:dyDescent="0.2"/>
    <row r="734" spans="1:10" ht="11.25" customHeight="1" x14ac:dyDescent="0.2">
      <c r="A734" s="257"/>
      <c r="B734" s="1234"/>
      <c r="C734" s="258"/>
      <c r="D734" s="294" t="s">
        <v>505</v>
      </c>
      <c r="E734" s="259"/>
      <c r="F734" s="259"/>
      <c r="G734" s="259"/>
      <c r="H734" s="258"/>
      <c r="I734" s="258"/>
      <c r="J734" s="260"/>
    </row>
    <row r="735" spans="1:10" ht="7.5" customHeight="1" x14ac:dyDescent="0.2">
      <c r="A735" s="257"/>
      <c r="B735" s="368"/>
      <c r="C735" s="261"/>
      <c r="D735" s="261"/>
      <c r="E735" s="261"/>
      <c r="F735" s="261"/>
      <c r="G735" s="261"/>
      <c r="H735" s="261"/>
      <c r="I735" s="261"/>
      <c r="J735" s="261"/>
    </row>
    <row r="736" spans="1:10" ht="11.25" customHeight="1" thickBot="1" x14ac:dyDescent="0.25">
      <c r="A736" s="262">
        <v>750</v>
      </c>
      <c r="B736" s="263" t="s">
        <v>33</v>
      </c>
      <c r="C736" s="227">
        <f>SUM(C737)</f>
        <v>2434635</v>
      </c>
      <c r="D736" s="227">
        <f t="shared" ref="D736:J736" si="119">SUM(D737)</f>
        <v>2434635</v>
      </c>
      <c r="E736" s="227">
        <f t="shared" si="119"/>
        <v>0</v>
      </c>
      <c r="F736" s="227">
        <f t="shared" si="119"/>
        <v>0</v>
      </c>
      <c r="G736" s="227">
        <f t="shared" si="119"/>
        <v>0</v>
      </c>
      <c r="H736" s="227">
        <f t="shared" si="119"/>
        <v>0</v>
      </c>
      <c r="I736" s="227">
        <f t="shared" si="119"/>
        <v>0</v>
      </c>
      <c r="J736" s="227">
        <f t="shared" si="119"/>
        <v>0</v>
      </c>
    </row>
    <row r="737" spans="1:10" ht="11.25" customHeight="1" thickTop="1" x14ac:dyDescent="0.2">
      <c r="A737" s="264">
        <v>75011</v>
      </c>
      <c r="B737" s="265" t="s">
        <v>225</v>
      </c>
      <c r="C737" s="266">
        <f>SUM(C740:C741)</f>
        <v>2434635</v>
      </c>
      <c r="D737" s="266">
        <f t="shared" ref="D737:J737" si="120">SUM(D740:D741)</f>
        <v>2434635</v>
      </c>
      <c r="E737" s="266">
        <f t="shared" si="120"/>
        <v>0</v>
      </c>
      <c r="F737" s="266">
        <f t="shared" si="120"/>
        <v>0</v>
      </c>
      <c r="G737" s="266">
        <f t="shared" si="120"/>
        <v>0</v>
      </c>
      <c r="H737" s="266">
        <f t="shared" si="120"/>
        <v>0</v>
      </c>
      <c r="I737" s="266">
        <f t="shared" si="120"/>
        <v>0</v>
      </c>
      <c r="J737" s="266">
        <f t="shared" si="120"/>
        <v>0</v>
      </c>
    </row>
    <row r="738" spans="1:10" ht="9.75" customHeight="1" x14ac:dyDescent="0.2">
      <c r="A738" s="267">
        <v>2010</v>
      </c>
      <c r="B738" s="268" t="s">
        <v>506</v>
      </c>
      <c r="C738" s="269"/>
      <c r="D738" s="270"/>
      <c r="E738" s="270"/>
      <c r="F738" s="270"/>
      <c r="G738" s="270"/>
      <c r="H738" s="270"/>
      <c r="I738" s="270"/>
      <c r="J738" s="270"/>
    </row>
    <row r="739" spans="1:10" ht="9" customHeight="1" x14ac:dyDescent="0.2">
      <c r="A739" s="271"/>
      <c r="B739" s="268" t="s">
        <v>507</v>
      </c>
      <c r="C739" s="270"/>
      <c r="D739" s="269"/>
      <c r="E739" s="269"/>
      <c r="F739" s="270"/>
      <c r="G739" s="270"/>
      <c r="H739" s="270"/>
      <c r="I739" s="270"/>
      <c r="J739" s="269"/>
    </row>
    <row r="740" spans="1:10" ht="9" customHeight="1" x14ac:dyDescent="0.2">
      <c r="A740" s="271"/>
      <c r="B740" s="268" t="s">
        <v>508</v>
      </c>
      <c r="C740" s="256"/>
      <c r="D740" s="247"/>
      <c r="E740" s="247"/>
      <c r="F740" s="247"/>
      <c r="G740" s="247"/>
      <c r="H740" s="247"/>
      <c r="I740" s="247"/>
      <c r="J740" s="247"/>
    </row>
    <row r="741" spans="1:10" ht="11.25" customHeight="1" x14ac:dyDescent="0.2">
      <c r="A741" s="271"/>
      <c r="B741" s="268" t="s">
        <v>509</v>
      </c>
      <c r="C741" s="256">
        <f>SUM(D741)</f>
        <v>2434635</v>
      </c>
      <c r="D741" s="272">
        <v>2434635</v>
      </c>
      <c r="E741" s="272">
        <v>0</v>
      </c>
      <c r="F741" s="247">
        <v>0</v>
      </c>
      <c r="G741" s="247">
        <v>0</v>
      </c>
      <c r="H741" s="247">
        <v>0</v>
      </c>
      <c r="I741" s="247">
        <v>0</v>
      </c>
      <c r="J741" s="272">
        <v>0</v>
      </c>
    </row>
    <row r="742" spans="1:10" ht="11.25" customHeight="1" x14ac:dyDescent="0.2">
      <c r="A742" s="273">
        <v>751</v>
      </c>
      <c r="B742" s="274" t="s">
        <v>510</v>
      </c>
      <c r="C742" s="270"/>
      <c r="D742" s="269"/>
      <c r="E742" s="269"/>
      <c r="F742" s="270"/>
      <c r="G742" s="270"/>
      <c r="H742" s="270"/>
      <c r="I742" s="270"/>
      <c r="J742" s="269"/>
    </row>
    <row r="743" spans="1:10" ht="11.25" customHeight="1" thickBot="1" x14ac:dyDescent="0.25">
      <c r="A743" s="275"/>
      <c r="B743" s="276" t="s">
        <v>511</v>
      </c>
      <c r="C743" s="227">
        <f>SUM(C745)</f>
        <v>14369</v>
      </c>
      <c r="D743" s="227">
        <f t="shared" ref="D743:J743" si="121">SUM(D745)</f>
        <v>14369</v>
      </c>
      <c r="E743" s="227">
        <f t="shared" si="121"/>
        <v>0</v>
      </c>
      <c r="F743" s="227">
        <f t="shared" si="121"/>
        <v>0</v>
      </c>
      <c r="G743" s="227">
        <f t="shared" si="121"/>
        <v>0</v>
      </c>
      <c r="H743" s="227">
        <f t="shared" si="121"/>
        <v>0</v>
      </c>
      <c r="I743" s="227">
        <f t="shared" si="121"/>
        <v>0</v>
      </c>
      <c r="J743" s="227">
        <f t="shared" si="121"/>
        <v>0</v>
      </c>
    </row>
    <row r="744" spans="1:10" ht="11.25" customHeight="1" thickTop="1" x14ac:dyDescent="0.2">
      <c r="A744" s="271">
        <v>75101</v>
      </c>
      <c r="B744" s="268" t="s">
        <v>512</v>
      </c>
      <c r="C744" s="270"/>
      <c r="D744" s="269"/>
      <c r="E744" s="269"/>
      <c r="F744" s="270"/>
      <c r="G744" s="270"/>
      <c r="H744" s="270"/>
      <c r="I744" s="270"/>
      <c r="J744" s="269"/>
    </row>
    <row r="745" spans="1:10" ht="11.25" customHeight="1" x14ac:dyDescent="0.2">
      <c r="A745" s="277"/>
      <c r="B745" s="278" t="s">
        <v>513</v>
      </c>
      <c r="C745" s="266">
        <f>SUM(C749)</f>
        <v>14369</v>
      </c>
      <c r="D745" s="266">
        <f t="shared" ref="D745:J745" si="122">D749</f>
        <v>14369</v>
      </c>
      <c r="E745" s="266">
        <f t="shared" si="122"/>
        <v>0</v>
      </c>
      <c r="F745" s="266">
        <f t="shared" si="122"/>
        <v>0</v>
      </c>
      <c r="G745" s="266">
        <f t="shared" si="122"/>
        <v>0</v>
      </c>
      <c r="H745" s="266">
        <f t="shared" si="122"/>
        <v>0</v>
      </c>
      <c r="I745" s="266">
        <f t="shared" si="122"/>
        <v>0</v>
      </c>
      <c r="J745" s="266">
        <f t="shared" si="122"/>
        <v>0</v>
      </c>
    </row>
    <row r="746" spans="1:10" ht="11.25" customHeight="1" x14ac:dyDescent="0.2">
      <c r="A746" s="267">
        <v>2010</v>
      </c>
      <c r="B746" s="268" t="s">
        <v>506</v>
      </c>
      <c r="C746" s="270"/>
      <c r="D746" s="269"/>
      <c r="E746" s="269"/>
      <c r="F746" s="270"/>
      <c r="G746" s="270"/>
      <c r="H746" s="270"/>
      <c r="I746" s="270"/>
      <c r="J746" s="269"/>
    </row>
    <row r="747" spans="1:10" ht="10.5" customHeight="1" x14ac:dyDescent="0.2">
      <c r="A747" s="271"/>
      <c r="B747" s="268" t="s">
        <v>507</v>
      </c>
      <c r="C747" s="270"/>
      <c r="D747" s="270"/>
      <c r="E747" s="269"/>
      <c r="F747" s="270"/>
      <c r="G747" s="270"/>
      <c r="H747" s="270"/>
      <c r="I747" s="270"/>
      <c r="J747" s="269"/>
    </row>
    <row r="748" spans="1:10" ht="10.5" customHeight="1" x14ac:dyDescent="0.2">
      <c r="A748" s="271"/>
      <c r="B748" s="268" t="s">
        <v>508</v>
      </c>
      <c r="C748" s="256"/>
      <c r="D748" s="247"/>
      <c r="E748" s="247"/>
      <c r="F748" s="247"/>
      <c r="G748" s="247"/>
      <c r="H748" s="247"/>
      <c r="I748" s="247"/>
      <c r="J748" s="247"/>
    </row>
    <row r="749" spans="1:10" ht="9.75" customHeight="1" x14ac:dyDescent="0.2">
      <c r="A749" s="271"/>
      <c r="B749" s="268" t="s">
        <v>509</v>
      </c>
      <c r="C749" s="256">
        <f>D749</f>
        <v>14369</v>
      </c>
      <c r="D749" s="247">
        <v>14369</v>
      </c>
      <c r="E749" s="247">
        <v>0</v>
      </c>
      <c r="F749" s="247">
        <v>0</v>
      </c>
      <c r="G749" s="247">
        <v>0</v>
      </c>
      <c r="H749" s="247">
        <v>0</v>
      </c>
      <c r="I749" s="247">
        <v>0</v>
      </c>
      <c r="J749" s="247">
        <v>0</v>
      </c>
    </row>
    <row r="750" spans="1:10" ht="11.25" customHeight="1" thickBot="1" x14ac:dyDescent="0.25">
      <c r="A750" s="262">
        <v>851</v>
      </c>
      <c r="B750" s="263" t="s">
        <v>53</v>
      </c>
      <c r="C750" s="227">
        <f>SUM(C751)</f>
        <v>3000</v>
      </c>
      <c r="D750" s="227">
        <f>SUM(D751)</f>
        <v>3000</v>
      </c>
      <c r="E750" s="227">
        <f>SUM(E751)</f>
        <v>0</v>
      </c>
      <c r="F750" s="227">
        <f>SUM(F751,F759)</f>
        <v>0</v>
      </c>
      <c r="G750" s="227">
        <f>SUM(G751,G759)</f>
        <v>0</v>
      </c>
      <c r="H750" s="227">
        <f>SUM(H751,H759)</f>
        <v>0</v>
      </c>
      <c r="I750" s="227">
        <f>SUM(I751,I759)</f>
        <v>0</v>
      </c>
      <c r="J750" s="227">
        <f>SUM(J751,J759)</f>
        <v>0</v>
      </c>
    </row>
    <row r="751" spans="1:10" ht="11.25" customHeight="1" thickTop="1" x14ac:dyDescent="0.2">
      <c r="A751" s="264">
        <v>85195</v>
      </c>
      <c r="B751" s="265" t="s">
        <v>96</v>
      </c>
      <c r="C751" s="266">
        <f t="shared" ref="C751:J751" si="123">SUM(C754)</f>
        <v>3000</v>
      </c>
      <c r="D751" s="266">
        <f t="shared" si="123"/>
        <v>3000</v>
      </c>
      <c r="E751" s="266">
        <f t="shared" si="123"/>
        <v>0</v>
      </c>
      <c r="F751" s="266">
        <f t="shared" si="123"/>
        <v>0</v>
      </c>
      <c r="G751" s="266">
        <f t="shared" si="123"/>
        <v>0</v>
      </c>
      <c r="H751" s="266">
        <f t="shared" si="123"/>
        <v>0</v>
      </c>
      <c r="I751" s="266">
        <f t="shared" si="123"/>
        <v>0</v>
      </c>
      <c r="J751" s="266">
        <f t="shared" si="123"/>
        <v>0</v>
      </c>
    </row>
    <row r="752" spans="1:10" ht="9.75" customHeight="1" x14ac:dyDescent="0.2">
      <c r="A752" s="267">
        <v>2010</v>
      </c>
      <c r="B752" s="268" t="s">
        <v>506</v>
      </c>
      <c r="C752" s="269"/>
      <c r="D752" s="270"/>
      <c r="E752" s="270"/>
      <c r="F752" s="270"/>
      <c r="G752" s="270"/>
      <c r="H752" s="270"/>
      <c r="I752" s="270"/>
      <c r="J752" s="270"/>
    </row>
    <row r="753" spans="1:10" ht="12" customHeight="1" x14ac:dyDescent="0.2">
      <c r="A753" s="271"/>
      <c r="B753" s="268" t="s">
        <v>507</v>
      </c>
      <c r="C753" s="270"/>
      <c r="D753" s="269"/>
      <c r="E753" s="269"/>
      <c r="F753" s="270"/>
      <c r="G753" s="270"/>
      <c r="H753" s="270"/>
      <c r="I753" s="270"/>
      <c r="J753" s="269"/>
    </row>
    <row r="754" spans="1:10" ht="21" customHeight="1" x14ac:dyDescent="0.2">
      <c r="A754" s="271"/>
      <c r="B754" s="279" t="s">
        <v>514</v>
      </c>
      <c r="C754" s="256">
        <f>SUM(D754:F754)</f>
        <v>3000</v>
      </c>
      <c r="D754" s="247">
        <v>3000</v>
      </c>
      <c r="E754" s="247">
        <v>0</v>
      </c>
      <c r="F754" s="247">
        <v>0</v>
      </c>
      <c r="G754" s="247">
        <v>0</v>
      </c>
      <c r="H754" s="247">
        <v>0</v>
      </c>
      <c r="I754" s="247">
        <v>0</v>
      </c>
      <c r="J754" s="247">
        <v>0</v>
      </c>
    </row>
    <row r="755" spans="1:10" ht="11.25" customHeight="1" thickBot="1" x14ac:dyDescent="0.25">
      <c r="A755" s="262">
        <v>852</v>
      </c>
      <c r="B755" s="263" t="s">
        <v>55</v>
      </c>
      <c r="C755" s="227">
        <f>SUM(C756,C760,C764,,C768)</f>
        <v>6640904</v>
      </c>
      <c r="D755" s="227">
        <f t="shared" ref="D755:J755" si="124">SUM(D756,D760,D764,,D768)</f>
        <v>6640904</v>
      </c>
      <c r="E755" s="227">
        <f t="shared" si="124"/>
        <v>0</v>
      </c>
      <c r="F755" s="227">
        <f t="shared" si="124"/>
        <v>0</v>
      </c>
      <c r="G755" s="227">
        <f t="shared" si="124"/>
        <v>0</v>
      </c>
      <c r="H755" s="227">
        <f t="shared" si="124"/>
        <v>0</v>
      </c>
      <c r="I755" s="227">
        <f t="shared" si="124"/>
        <v>0</v>
      </c>
      <c r="J755" s="227">
        <f t="shared" si="124"/>
        <v>0</v>
      </c>
    </row>
    <row r="756" spans="1:10" ht="11.25" customHeight="1" thickTop="1" x14ac:dyDescent="0.2">
      <c r="A756" s="264">
        <v>85203</v>
      </c>
      <c r="B756" s="265" t="s">
        <v>335</v>
      </c>
      <c r="C756" s="266">
        <f>SUM(C759)</f>
        <v>1767439</v>
      </c>
      <c r="D756" s="266">
        <f t="shared" ref="D756:J756" si="125">SUM(D759)</f>
        <v>1767439</v>
      </c>
      <c r="E756" s="266">
        <f t="shared" si="125"/>
        <v>0</v>
      </c>
      <c r="F756" s="266">
        <f t="shared" si="125"/>
        <v>0</v>
      </c>
      <c r="G756" s="266">
        <f t="shared" si="125"/>
        <v>0</v>
      </c>
      <c r="H756" s="266">
        <f t="shared" si="125"/>
        <v>0</v>
      </c>
      <c r="I756" s="266">
        <f t="shared" si="125"/>
        <v>0</v>
      </c>
      <c r="J756" s="266">
        <f t="shared" si="125"/>
        <v>0</v>
      </c>
    </row>
    <row r="757" spans="1:10" ht="11.25" customHeight="1" x14ac:dyDescent="0.2">
      <c r="A757" s="267">
        <v>2010</v>
      </c>
      <c r="B757" s="268" t="s">
        <v>506</v>
      </c>
      <c r="C757" s="270"/>
      <c r="D757" s="269"/>
      <c r="E757" s="269"/>
      <c r="F757" s="270"/>
      <c r="G757" s="270"/>
      <c r="H757" s="270"/>
      <c r="I757" s="270"/>
      <c r="J757" s="269"/>
    </row>
    <row r="758" spans="1:10" ht="9.75" customHeight="1" x14ac:dyDescent="0.2">
      <c r="A758" s="271"/>
      <c r="B758" s="268" t="s">
        <v>507</v>
      </c>
      <c r="C758" s="270"/>
      <c r="D758" s="269"/>
      <c r="E758" s="269"/>
      <c r="F758" s="270"/>
      <c r="G758" s="270"/>
      <c r="H758" s="270"/>
      <c r="I758" s="270"/>
      <c r="J758" s="269"/>
    </row>
    <row r="759" spans="1:10" ht="22.5" customHeight="1" x14ac:dyDescent="0.2">
      <c r="A759" s="271"/>
      <c r="B759" s="279" t="s">
        <v>514</v>
      </c>
      <c r="C759" s="256">
        <f>SUM(D759:F759)</f>
        <v>1767439</v>
      </c>
      <c r="D759" s="247">
        <v>1767439</v>
      </c>
      <c r="E759" s="247">
        <v>0</v>
      </c>
      <c r="F759" s="247">
        <v>0</v>
      </c>
      <c r="G759" s="247">
        <v>0</v>
      </c>
      <c r="H759" s="247">
        <v>0</v>
      </c>
      <c r="I759" s="247">
        <v>0</v>
      </c>
      <c r="J759" s="247">
        <v>0</v>
      </c>
    </row>
    <row r="760" spans="1:10" ht="11.25" customHeight="1" x14ac:dyDescent="0.2">
      <c r="A760" s="277">
        <v>85219</v>
      </c>
      <c r="B760" s="280" t="s">
        <v>357</v>
      </c>
      <c r="C760" s="266">
        <f>SUM(C763)</f>
        <v>88248</v>
      </c>
      <c r="D760" s="266">
        <f t="shared" ref="D760:J760" si="126">SUM(D763)</f>
        <v>88248</v>
      </c>
      <c r="E760" s="266">
        <f t="shared" si="126"/>
        <v>0</v>
      </c>
      <c r="F760" s="266">
        <f t="shared" si="126"/>
        <v>0</v>
      </c>
      <c r="G760" s="266">
        <f t="shared" si="126"/>
        <v>0</v>
      </c>
      <c r="H760" s="266">
        <f t="shared" si="126"/>
        <v>0</v>
      </c>
      <c r="I760" s="266">
        <f t="shared" si="126"/>
        <v>0</v>
      </c>
      <c r="J760" s="266">
        <f t="shared" si="126"/>
        <v>0</v>
      </c>
    </row>
    <row r="761" spans="1:10" ht="11.25" customHeight="1" x14ac:dyDescent="0.2">
      <c r="A761" s="267">
        <v>2010</v>
      </c>
      <c r="B761" s="268" t="s">
        <v>506</v>
      </c>
      <c r="C761" s="270"/>
      <c r="D761" s="269"/>
      <c r="E761" s="269"/>
      <c r="F761" s="270"/>
      <c r="G761" s="270"/>
      <c r="H761" s="270"/>
      <c r="I761" s="270"/>
      <c r="J761" s="269"/>
    </row>
    <row r="762" spans="1:10" ht="11.25" customHeight="1" x14ac:dyDescent="0.2">
      <c r="A762" s="271"/>
      <c r="B762" s="268" t="s">
        <v>507</v>
      </c>
      <c r="C762" s="270"/>
      <c r="D762" s="269"/>
      <c r="E762" s="269"/>
      <c r="F762" s="270"/>
      <c r="G762" s="270"/>
      <c r="H762" s="270"/>
      <c r="I762" s="270"/>
      <c r="J762" s="269"/>
    </row>
    <row r="763" spans="1:10" ht="21.75" customHeight="1" x14ac:dyDescent="0.2">
      <c r="A763" s="277"/>
      <c r="B763" s="281" t="s">
        <v>514</v>
      </c>
      <c r="C763" s="266">
        <f>SUM(D763:F763)</f>
        <v>88248</v>
      </c>
      <c r="D763" s="245">
        <v>88248</v>
      </c>
      <c r="E763" s="245">
        <v>0</v>
      </c>
      <c r="F763" s="245">
        <v>0</v>
      </c>
      <c r="G763" s="245">
        <v>0</v>
      </c>
      <c r="H763" s="245">
        <v>0</v>
      </c>
      <c r="I763" s="245">
        <v>0</v>
      </c>
      <c r="J763" s="245">
        <v>0</v>
      </c>
    </row>
    <row r="764" spans="1:10" ht="11.25" customHeight="1" x14ac:dyDescent="0.2">
      <c r="A764" s="277">
        <v>85228</v>
      </c>
      <c r="B764" s="280" t="s">
        <v>363</v>
      </c>
      <c r="C764" s="266">
        <f>SUM(C767)</f>
        <v>4754169</v>
      </c>
      <c r="D764" s="266">
        <f t="shared" ref="D764:J764" si="127">SUM(D767)</f>
        <v>4754169</v>
      </c>
      <c r="E764" s="266">
        <f t="shared" si="127"/>
        <v>0</v>
      </c>
      <c r="F764" s="266">
        <f t="shared" si="127"/>
        <v>0</v>
      </c>
      <c r="G764" s="266">
        <f t="shared" si="127"/>
        <v>0</v>
      </c>
      <c r="H764" s="266">
        <f t="shared" si="127"/>
        <v>0</v>
      </c>
      <c r="I764" s="266">
        <f t="shared" si="127"/>
        <v>0</v>
      </c>
      <c r="J764" s="266">
        <f t="shared" si="127"/>
        <v>0</v>
      </c>
    </row>
    <row r="765" spans="1:10" ht="11.25" customHeight="1" x14ac:dyDescent="0.2">
      <c r="A765" s="267">
        <v>2010</v>
      </c>
      <c r="B765" s="268" t="s">
        <v>506</v>
      </c>
      <c r="C765" s="270"/>
      <c r="D765" s="270"/>
      <c r="E765" s="270"/>
      <c r="F765" s="270"/>
      <c r="G765" s="270"/>
      <c r="H765" s="270"/>
      <c r="I765" s="270"/>
      <c r="J765" s="270"/>
    </row>
    <row r="766" spans="1:10" ht="11.25" customHeight="1" x14ac:dyDescent="0.2">
      <c r="A766" s="271"/>
      <c r="B766" s="268" t="s">
        <v>507</v>
      </c>
      <c r="C766" s="270"/>
      <c r="D766" s="270"/>
      <c r="E766" s="270"/>
      <c r="F766" s="270"/>
      <c r="G766" s="270"/>
      <c r="H766" s="270"/>
      <c r="I766" s="270"/>
      <c r="J766" s="270"/>
    </row>
    <row r="767" spans="1:10" ht="22.5" customHeight="1" x14ac:dyDescent="0.2">
      <c r="A767" s="271"/>
      <c r="B767" s="279" t="s">
        <v>514</v>
      </c>
      <c r="C767" s="256">
        <f>SUM(D767:F767)</f>
        <v>4754169</v>
      </c>
      <c r="D767" s="247">
        <v>4754169</v>
      </c>
      <c r="E767" s="247">
        <v>0</v>
      </c>
      <c r="F767" s="247">
        <v>0</v>
      </c>
      <c r="G767" s="247">
        <v>0</v>
      </c>
      <c r="H767" s="247">
        <v>0</v>
      </c>
      <c r="I767" s="247">
        <v>0</v>
      </c>
      <c r="J767" s="247">
        <v>0</v>
      </c>
    </row>
    <row r="768" spans="1:10" ht="11.25" customHeight="1" x14ac:dyDescent="0.2">
      <c r="A768" s="277" t="s">
        <v>366</v>
      </c>
      <c r="B768" s="282" t="s">
        <v>515</v>
      </c>
      <c r="C768" s="266">
        <f>SUM(C771)</f>
        <v>31048</v>
      </c>
      <c r="D768" s="266">
        <f t="shared" ref="D768:J768" si="128">SUM(D771)</f>
        <v>31048</v>
      </c>
      <c r="E768" s="266">
        <f t="shared" si="128"/>
        <v>0</v>
      </c>
      <c r="F768" s="266">
        <f t="shared" si="128"/>
        <v>0</v>
      </c>
      <c r="G768" s="266">
        <f t="shared" si="128"/>
        <v>0</v>
      </c>
      <c r="H768" s="266">
        <f t="shared" si="128"/>
        <v>0</v>
      </c>
      <c r="I768" s="266">
        <f t="shared" si="128"/>
        <v>0</v>
      </c>
      <c r="J768" s="266">
        <f t="shared" si="128"/>
        <v>0</v>
      </c>
    </row>
    <row r="769" spans="1:10" ht="11.25" customHeight="1" x14ac:dyDescent="0.2">
      <c r="A769" s="267">
        <v>2010</v>
      </c>
      <c r="B769" s="268" t="s">
        <v>506</v>
      </c>
      <c r="C769" s="256"/>
      <c r="D769" s="247"/>
      <c r="E769" s="247"/>
      <c r="F769" s="247"/>
      <c r="G769" s="247"/>
      <c r="H769" s="247"/>
      <c r="I769" s="247"/>
      <c r="J769" s="247"/>
    </row>
    <row r="770" spans="1:10" ht="11.25" customHeight="1" x14ac:dyDescent="0.2">
      <c r="A770" s="271"/>
      <c r="B770" s="268" t="s">
        <v>507</v>
      </c>
      <c r="C770" s="256"/>
      <c r="D770" s="247"/>
      <c r="E770" s="247"/>
      <c r="F770" s="247"/>
      <c r="G770" s="247"/>
      <c r="H770" s="247"/>
      <c r="I770" s="247"/>
      <c r="J770" s="247"/>
    </row>
    <row r="771" spans="1:10" ht="24.75" customHeight="1" x14ac:dyDescent="0.2">
      <c r="A771" s="271"/>
      <c r="B771" s="279" t="s">
        <v>514</v>
      </c>
      <c r="C771" s="256">
        <f>SUM(D771)</f>
        <v>31048</v>
      </c>
      <c r="D771" s="247">
        <v>31048</v>
      </c>
      <c r="E771" s="247">
        <v>0</v>
      </c>
      <c r="F771" s="247">
        <v>0</v>
      </c>
      <c r="G771" s="247">
        <v>0</v>
      </c>
      <c r="H771" s="247">
        <v>0</v>
      </c>
      <c r="I771" s="247">
        <v>0</v>
      </c>
      <c r="J771" s="247">
        <v>0</v>
      </c>
    </row>
    <row r="772" spans="1:10" ht="11.25" customHeight="1" thickBot="1" x14ac:dyDescent="0.25">
      <c r="A772" s="262">
        <v>855</v>
      </c>
      <c r="B772" s="263" t="s">
        <v>61</v>
      </c>
      <c r="C772" s="227">
        <f t="shared" ref="C772:J772" si="129">SUM(,C775,C783,C779)</f>
        <v>44158354</v>
      </c>
      <c r="D772" s="227">
        <f t="shared" si="129"/>
        <v>44158354</v>
      </c>
      <c r="E772" s="227">
        <f t="shared" si="129"/>
        <v>0</v>
      </c>
      <c r="F772" s="227">
        <f t="shared" si="129"/>
        <v>0</v>
      </c>
      <c r="G772" s="227">
        <f t="shared" si="129"/>
        <v>0</v>
      </c>
      <c r="H772" s="227">
        <f t="shared" si="129"/>
        <v>0</v>
      </c>
      <c r="I772" s="227">
        <f t="shared" si="129"/>
        <v>0</v>
      </c>
      <c r="J772" s="227">
        <f t="shared" si="129"/>
        <v>0</v>
      </c>
    </row>
    <row r="773" spans="1:10" ht="11.25" customHeight="1" thickTop="1" x14ac:dyDescent="0.2">
      <c r="A773" s="271">
        <v>85502</v>
      </c>
      <c r="B773" s="268" t="s">
        <v>516</v>
      </c>
      <c r="C773" s="270"/>
      <c r="D773" s="269"/>
      <c r="E773" s="269"/>
      <c r="F773" s="270"/>
      <c r="G773" s="270"/>
      <c r="H773" s="270"/>
      <c r="I773" s="270"/>
      <c r="J773" s="269"/>
    </row>
    <row r="774" spans="1:10" ht="11.25" customHeight="1" x14ac:dyDescent="0.2">
      <c r="A774" s="271"/>
      <c r="B774" s="268" t="s">
        <v>373</v>
      </c>
      <c r="C774" s="270"/>
      <c r="D774" s="269"/>
      <c r="E774" s="269"/>
      <c r="F774" s="270"/>
      <c r="G774" s="270"/>
      <c r="H774" s="270"/>
      <c r="I774" s="270"/>
      <c r="J774" s="269"/>
    </row>
    <row r="775" spans="1:10" ht="11.25" customHeight="1" x14ac:dyDescent="0.2">
      <c r="A775" s="277"/>
      <c r="B775" s="278" t="s">
        <v>517</v>
      </c>
      <c r="C775" s="266">
        <f t="shared" ref="C775:J775" si="130">SUM(C778)</f>
        <v>43543854</v>
      </c>
      <c r="D775" s="266">
        <f t="shared" si="130"/>
        <v>43543854</v>
      </c>
      <c r="E775" s="266">
        <f t="shared" si="130"/>
        <v>0</v>
      </c>
      <c r="F775" s="266">
        <f t="shared" si="130"/>
        <v>0</v>
      </c>
      <c r="G775" s="266">
        <f t="shared" si="130"/>
        <v>0</v>
      </c>
      <c r="H775" s="266">
        <f t="shared" si="130"/>
        <v>0</v>
      </c>
      <c r="I775" s="266">
        <f t="shared" si="130"/>
        <v>0</v>
      </c>
      <c r="J775" s="266">
        <f t="shared" si="130"/>
        <v>0</v>
      </c>
    </row>
    <row r="776" spans="1:10" ht="13.5" customHeight="1" x14ac:dyDescent="0.2">
      <c r="A776" s="267">
        <v>2010</v>
      </c>
      <c r="B776" s="268" t="s">
        <v>506</v>
      </c>
      <c r="C776" s="270"/>
      <c r="D776" s="269"/>
      <c r="E776" s="269"/>
      <c r="F776" s="270"/>
      <c r="G776" s="270"/>
      <c r="H776" s="270"/>
      <c r="I776" s="270"/>
      <c r="J776" s="269"/>
    </row>
    <row r="777" spans="1:10" ht="11.25" customHeight="1" x14ac:dyDescent="0.2">
      <c r="A777" s="271"/>
      <c r="B777" s="268" t="s">
        <v>507</v>
      </c>
      <c r="C777" s="270"/>
      <c r="D777" s="269"/>
      <c r="E777" s="269"/>
      <c r="F777" s="270"/>
      <c r="G777" s="270"/>
      <c r="H777" s="270"/>
      <c r="I777" s="270"/>
      <c r="J777" s="269"/>
    </row>
    <row r="778" spans="1:10" ht="23.25" customHeight="1" x14ac:dyDescent="0.2">
      <c r="A778" s="271"/>
      <c r="B778" s="279" t="s">
        <v>514</v>
      </c>
      <c r="C778" s="256">
        <f>SUM(D778:F778)</f>
        <v>43543854</v>
      </c>
      <c r="D778" s="247">
        <v>43543854</v>
      </c>
      <c r="E778" s="247">
        <v>0</v>
      </c>
      <c r="F778" s="247">
        <v>0</v>
      </c>
      <c r="G778" s="247">
        <v>0</v>
      </c>
      <c r="H778" s="247">
        <v>0</v>
      </c>
      <c r="I778" s="247">
        <v>0</v>
      </c>
      <c r="J778" s="247">
        <v>0</v>
      </c>
    </row>
    <row r="779" spans="1:10" ht="11.25" customHeight="1" x14ac:dyDescent="0.2">
      <c r="A779" s="277" t="s">
        <v>518</v>
      </c>
      <c r="B779" s="278" t="s">
        <v>519</v>
      </c>
      <c r="C779" s="266">
        <f>SUM(C782)</f>
        <v>1900</v>
      </c>
      <c r="D779" s="266">
        <f t="shared" ref="D779:J779" si="131">SUM(D782)</f>
        <v>1900</v>
      </c>
      <c r="E779" s="266">
        <f t="shared" si="131"/>
        <v>0</v>
      </c>
      <c r="F779" s="266">
        <f t="shared" si="131"/>
        <v>0</v>
      </c>
      <c r="G779" s="266">
        <f t="shared" si="131"/>
        <v>0</v>
      </c>
      <c r="H779" s="266">
        <f t="shared" si="131"/>
        <v>0</v>
      </c>
      <c r="I779" s="266">
        <f t="shared" si="131"/>
        <v>0</v>
      </c>
      <c r="J779" s="266">
        <f t="shared" si="131"/>
        <v>0</v>
      </c>
    </row>
    <row r="780" spans="1:10" ht="11.25" customHeight="1" x14ac:dyDescent="0.2">
      <c r="A780" s="267">
        <v>2010</v>
      </c>
      <c r="B780" s="268" t="s">
        <v>506</v>
      </c>
      <c r="C780" s="283"/>
      <c r="D780" s="284"/>
      <c r="E780" s="284"/>
      <c r="F780" s="284"/>
      <c r="G780" s="284"/>
      <c r="H780" s="284"/>
      <c r="I780" s="284"/>
      <c r="J780" s="246"/>
    </row>
    <row r="781" spans="1:10" ht="11.25" customHeight="1" x14ac:dyDescent="0.2">
      <c r="A781" s="271"/>
      <c r="B781" s="268" t="s">
        <v>507</v>
      </c>
      <c r="C781" s="256"/>
      <c r="D781" s="247"/>
      <c r="E781" s="247"/>
      <c r="F781" s="247"/>
      <c r="G781" s="247"/>
      <c r="H781" s="247"/>
      <c r="I781" s="247"/>
      <c r="J781" s="247"/>
    </row>
    <row r="782" spans="1:10" ht="23.25" customHeight="1" x14ac:dyDescent="0.2">
      <c r="A782" s="271"/>
      <c r="B782" s="279" t="s">
        <v>514</v>
      </c>
      <c r="C782" s="256">
        <f>SUM(D782)</f>
        <v>1900</v>
      </c>
      <c r="D782" s="247">
        <v>1900</v>
      </c>
      <c r="E782" s="247">
        <v>0</v>
      </c>
      <c r="F782" s="247">
        <v>0</v>
      </c>
      <c r="G782" s="247">
        <v>0</v>
      </c>
      <c r="H782" s="247">
        <v>0</v>
      </c>
      <c r="I782" s="247">
        <v>0</v>
      </c>
      <c r="J782" s="247">
        <v>0</v>
      </c>
    </row>
    <row r="783" spans="1:10" ht="34.5" customHeight="1" x14ac:dyDescent="0.2">
      <c r="A783" s="285">
        <v>85513</v>
      </c>
      <c r="B783" s="286" t="s">
        <v>520</v>
      </c>
      <c r="C783" s="266">
        <f>SUM(C786)</f>
        <v>612600</v>
      </c>
      <c r="D783" s="245">
        <f>SUM(D786)</f>
        <v>612600</v>
      </c>
      <c r="E783" s="245">
        <v>0</v>
      </c>
      <c r="F783" s="245">
        <v>0</v>
      </c>
      <c r="G783" s="245">
        <v>0</v>
      </c>
      <c r="H783" s="245">
        <v>0</v>
      </c>
      <c r="I783" s="245">
        <v>0</v>
      </c>
      <c r="J783" s="245">
        <v>0</v>
      </c>
    </row>
    <row r="784" spans="1:10" ht="11.25" customHeight="1" x14ac:dyDescent="0.2">
      <c r="A784" s="287">
        <v>2010</v>
      </c>
      <c r="B784" s="268" t="s">
        <v>506</v>
      </c>
      <c r="C784" s="256"/>
      <c r="D784" s="247"/>
      <c r="E784" s="247"/>
      <c r="F784" s="247"/>
      <c r="G784" s="247"/>
      <c r="H784" s="247"/>
      <c r="I784" s="247"/>
      <c r="J784" s="247"/>
    </row>
    <row r="785" spans="1:10" ht="10.5" customHeight="1" x14ac:dyDescent="0.2">
      <c r="A785" s="271"/>
      <c r="B785" s="268" t="s">
        <v>507</v>
      </c>
      <c r="C785" s="256"/>
      <c r="D785" s="247"/>
      <c r="E785" s="247"/>
      <c r="F785" s="247"/>
      <c r="G785" s="247"/>
      <c r="H785" s="247"/>
      <c r="I785" s="247"/>
      <c r="J785" s="247"/>
    </row>
    <row r="786" spans="1:10" ht="23.25" customHeight="1" x14ac:dyDescent="0.2">
      <c r="A786" s="277"/>
      <c r="B786" s="279" t="s">
        <v>514</v>
      </c>
      <c r="C786" s="256">
        <f>SUM(D786:F786)</f>
        <v>612600</v>
      </c>
      <c r="D786" s="247">
        <v>612600</v>
      </c>
      <c r="E786" s="247">
        <v>0</v>
      </c>
      <c r="F786" s="247">
        <v>0</v>
      </c>
      <c r="G786" s="247">
        <v>0</v>
      </c>
      <c r="H786" s="247">
        <v>0</v>
      </c>
      <c r="I786" s="247">
        <v>0</v>
      </c>
      <c r="J786" s="247">
        <v>0</v>
      </c>
    </row>
    <row r="787" spans="1:10" ht="11.25" customHeight="1" x14ac:dyDescent="0.2">
      <c r="A787" s="288"/>
      <c r="B787" s="1236" t="s">
        <v>505</v>
      </c>
      <c r="C787" s="289">
        <f>SUM(D787,F787)</f>
        <v>53251262</v>
      </c>
      <c r="D787" s="289">
        <f>SUM(D736,D743,D750,D755,D772)</f>
        <v>53251262</v>
      </c>
      <c r="E787" s="289">
        <v>0</v>
      </c>
      <c r="F787" s="289">
        <f>SUM(G787:J787)</f>
        <v>0</v>
      </c>
      <c r="G787" s="289">
        <v>0</v>
      </c>
      <c r="H787" s="289">
        <v>0</v>
      </c>
      <c r="I787" s="289">
        <v>0</v>
      </c>
      <c r="J787" s="289">
        <v>0</v>
      </c>
    </row>
    <row r="788" spans="1:10" ht="11.25" customHeight="1" x14ac:dyDescent="0.2">
      <c r="A788" s="288"/>
      <c r="B788" s="377"/>
      <c r="C788" s="290"/>
      <c r="D788" s="290"/>
      <c r="E788" s="290"/>
      <c r="F788" s="290"/>
      <c r="G788" s="290"/>
      <c r="H788" s="290"/>
      <c r="I788" s="290"/>
      <c r="J788" s="291"/>
    </row>
    <row r="789" spans="1:10" ht="11.25" customHeight="1" x14ac:dyDescent="0.2">
      <c r="A789" s="292"/>
      <c r="B789" s="377"/>
      <c r="C789" s="293"/>
      <c r="D789" s="294" t="s">
        <v>521</v>
      </c>
      <c r="E789" s="293"/>
      <c r="F789" s="293"/>
      <c r="G789" s="294"/>
      <c r="H789" s="293"/>
      <c r="I789" s="293"/>
      <c r="J789" s="295"/>
    </row>
    <row r="790" spans="1:10" ht="11.25" customHeight="1" thickBot="1" x14ac:dyDescent="0.25">
      <c r="A790" s="110" t="s">
        <v>17</v>
      </c>
      <c r="B790" s="111" t="s">
        <v>18</v>
      </c>
      <c r="C790" s="296">
        <f>C791</f>
        <v>10000</v>
      </c>
      <c r="D790" s="296">
        <f t="shared" ref="D790:J790" si="132">D791</f>
        <v>10000</v>
      </c>
      <c r="E790" s="296">
        <f t="shared" si="132"/>
        <v>0</v>
      </c>
      <c r="F790" s="296">
        <f t="shared" si="132"/>
        <v>0</v>
      </c>
      <c r="G790" s="296">
        <f t="shared" si="132"/>
        <v>0</v>
      </c>
      <c r="H790" s="296">
        <f t="shared" si="132"/>
        <v>0</v>
      </c>
      <c r="I790" s="296">
        <f t="shared" si="132"/>
        <v>0</v>
      </c>
      <c r="J790" s="297">
        <f t="shared" si="132"/>
        <v>0</v>
      </c>
    </row>
    <row r="791" spans="1:10" ht="11.25" customHeight="1" thickTop="1" x14ac:dyDescent="0.2">
      <c r="A791" s="298" t="s">
        <v>522</v>
      </c>
      <c r="B791" s="299" t="s">
        <v>523</v>
      </c>
      <c r="C791" s="300">
        <f>SUM(C794)</f>
        <v>10000</v>
      </c>
      <c r="D791" s="301">
        <f t="shared" ref="D791:J791" si="133">SUM(D794)</f>
        <v>10000</v>
      </c>
      <c r="E791" s="302">
        <f t="shared" si="133"/>
        <v>0</v>
      </c>
      <c r="F791" s="300">
        <f t="shared" si="133"/>
        <v>0</v>
      </c>
      <c r="G791" s="302">
        <f t="shared" si="133"/>
        <v>0</v>
      </c>
      <c r="H791" s="300">
        <f t="shared" si="133"/>
        <v>0</v>
      </c>
      <c r="I791" s="302">
        <f t="shared" si="133"/>
        <v>0</v>
      </c>
      <c r="J791" s="303">
        <f t="shared" si="133"/>
        <v>0</v>
      </c>
    </row>
    <row r="792" spans="1:10" ht="11.25" customHeight="1" x14ac:dyDescent="0.2">
      <c r="A792" s="304">
        <v>2110</v>
      </c>
      <c r="B792" s="305" t="s">
        <v>524</v>
      </c>
      <c r="C792" s="306"/>
      <c r="D792" s="1237"/>
      <c r="E792" s="307"/>
      <c r="F792" s="307"/>
      <c r="G792" s="308"/>
      <c r="H792" s="307"/>
      <c r="I792" s="307"/>
      <c r="J792" s="307"/>
    </row>
    <row r="793" spans="1:10" ht="11.25" customHeight="1" x14ac:dyDescent="0.2">
      <c r="A793" s="309"/>
      <c r="B793" s="305" t="s">
        <v>525</v>
      </c>
      <c r="C793" s="310"/>
      <c r="D793" s="311"/>
      <c r="E793" s="310"/>
      <c r="F793" s="310"/>
      <c r="G793" s="311"/>
      <c r="H793" s="310"/>
      <c r="I793" s="310"/>
      <c r="J793" s="310"/>
    </row>
    <row r="794" spans="1:10" ht="11.25" customHeight="1" x14ac:dyDescent="0.2">
      <c r="A794" s="312"/>
      <c r="B794" s="313" t="s">
        <v>526</v>
      </c>
      <c r="C794" s="314">
        <f>SUM(D794)</f>
        <v>10000</v>
      </c>
      <c r="D794" s="314">
        <v>10000</v>
      </c>
      <c r="E794" s="315">
        <v>0</v>
      </c>
      <c r="F794" s="315">
        <v>0</v>
      </c>
      <c r="G794" s="315">
        <v>0</v>
      </c>
      <c r="H794" s="315">
        <v>0</v>
      </c>
      <c r="I794" s="315">
        <v>0</v>
      </c>
      <c r="J794" s="315">
        <v>0</v>
      </c>
    </row>
    <row r="795" spans="1:10" ht="11.25" customHeight="1" thickBot="1" x14ac:dyDescent="0.25">
      <c r="A795" s="316">
        <v>700</v>
      </c>
      <c r="B795" s="317" t="s">
        <v>29</v>
      </c>
      <c r="C795" s="227">
        <f>SUM(C796)</f>
        <v>551000</v>
      </c>
      <c r="D795" s="227">
        <f t="shared" ref="D795:J795" si="134">SUM(D796)</f>
        <v>551000</v>
      </c>
      <c r="E795" s="227">
        <f t="shared" si="134"/>
        <v>0</v>
      </c>
      <c r="F795" s="227">
        <f t="shared" si="134"/>
        <v>0</v>
      </c>
      <c r="G795" s="227">
        <f t="shared" si="134"/>
        <v>0</v>
      </c>
      <c r="H795" s="227">
        <f t="shared" si="134"/>
        <v>0</v>
      </c>
      <c r="I795" s="227">
        <f t="shared" si="134"/>
        <v>0</v>
      </c>
      <c r="J795" s="227">
        <f t="shared" si="134"/>
        <v>0</v>
      </c>
    </row>
    <row r="796" spans="1:10" ht="11.25" customHeight="1" thickTop="1" x14ac:dyDescent="0.2">
      <c r="A796" s="318">
        <v>70005</v>
      </c>
      <c r="B796" s="319" t="s">
        <v>177</v>
      </c>
      <c r="C796" s="266">
        <f>SUM(C799)</f>
        <v>551000</v>
      </c>
      <c r="D796" s="266">
        <f t="shared" ref="D796:J796" si="135">SUM(D799)</f>
        <v>551000</v>
      </c>
      <c r="E796" s="266">
        <f t="shared" si="135"/>
        <v>0</v>
      </c>
      <c r="F796" s="266">
        <f t="shared" si="135"/>
        <v>0</v>
      </c>
      <c r="G796" s="266">
        <f t="shared" si="135"/>
        <v>0</v>
      </c>
      <c r="H796" s="266">
        <f t="shared" si="135"/>
        <v>0</v>
      </c>
      <c r="I796" s="266">
        <f t="shared" si="135"/>
        <v>0</v>
      </c>
      <c r="J796" s="266">
        <f t="shared" si="135"/>
        <v>0</v>
      </c>
    </row>
    <row r="797" spans="1:10" ht="11.25" customHeight="1" x14ac:dyDescent="0.2">
      <c r="A797" s="304">
        <v>2110</v>
      </c>
      <c r="B797" s="305" t="s">
        <v>524</v>
      </c>
      <c r="C797" s="270"/>
      <c r="D797" s="270"/>
      <c r="E797" s="310"/>
      <c r="F797" s="310"/>
      <c r="G797" s="310"/>
      <c r="H797" s="310"/>
      <c r="I797" s="310"/>
      <c r="J797" s="310"/>
    </row>
    <row r="798" spans="1:10" ht="11.25" customHeight="1" x14ac:dyDescent="0.2">
      <c r="A798" s="309"/>
      <c r="B798" s="305" t="s">
        <v>525</v>
      </c>
      <c r="C798" s="270"/>
      <c r="D798" s="270"/>
      <c r="E798" s="310"/>
      <c r="F798" s="310"/>
      <c r="G798" s="310"/>
      <c r="H798" s="310"/>
      <c r="I798" s="310"/>
      <c r="J798" s="310"/>
    </row>
    <row r="799" spans="1:10" ht="11.25" customHeight="1" x14ac:dyDescent="0.2">
      <c r="A799" s="312"/>
      <c r="B799" s="313" t="s">
        <v>526</v>
      </c>
      <c r="C799" s="266">
        <f>SUM(D799:F799)</f>
        <v>551000</v>
      </c>
      <c r="D799" s="245">
        <v>551000</v>
      </c>
      <c r="E799" s="245">
        <v>0</v>
      </c>
      <c r="F799" s="245">
        <v>0</v>
      </c>
      <c r="G799" s="245">
        <v>0</v>
      </c>
      <c r="H799" s="245">
        <v>0</v>
      </c>
      <c r="I799" s="245">
        <v>0</v>
      </c>
      <c r="J799" s="245">
        <v>0</v>
      </c>
    </row>
    <row r="800" spans="1:10" ht="11.25" customHeight="1" thickBot="1" x14ac:dyDescent="0.25">
      <c r="A800" s="316">
        <v>710</v>
      </c>
      <c r="B800" s="317" t="s">
        <v>31</v>
      </c>
      <c r="C800" s="227">
        <f>SUM(C801,C809,C805,C813)</f>
        <v>1413940</v>
      </c>
      <c r="D800" s="227">
        <f t="shared" ref="D800:I800" si="136">SUM(D801,D809,D805,D813)</f>
        <v>1413940</v>
      </c>
      <c r="E800" s="227">
        <f t="shared" si="136"/>
        <v>0</v>
      </c>
      <c r="F800" s="227">
        <f t="shared" si="136"/>
        <v>0</v>
      </c>
      <c r="G800" s="227">
        <f t="shared" si="136"/>
        <v>0</v>
      </c>
      <c r="H800" s="227">
        <f t="shared" si="136"/>
        <v>0</v>
      </c>
      <c r="I800" s="227">
        <f t="shared" si="136"/>
        <v>0</v>
      </c>
      <c r="J800" s="227">
        <f>SUM(J801,J809,J805)</f>
        <v>0</v>
      </c>
    </row>
    <row r="801" spans="1:10" ht="11.25" customHeight="1" thickTop="1" x14ac:dyDescent="0.2">
      <c r="A801" s="318">
        <v>71012</v>
      </c>
      <c r="B801" s="319" t="s">
        <v>429</v>
      </c>
      <c r="C801" s="266">
        <f>SUM(C804)</f>
        <v>261418</v>
      </c>
      <c r="D801" s="266">
        <f t="shared" ref="D801:J801" si="137">SUM(D804)</f>
        <v>261418</v>
      </c>
      <c r="E801" s="266">
        <f t="shared" si="137"/>
        <v>0</v>
      </c>
      <c r="F801" s="266">
        <f t="shared" si="137"/>
        <v>0</v>
      </c>
      <c r="G801" s="266">
        <f t="shared" si="137"/>
        <v>0</v>
      </c>
      <c r="H801" s="266">
        <f t="shared" si="137"/>
        <v>0</v>
      </c>
      <c r="I801" s="266">
        <f t="shared" si="137"/>
        <v>0</v>
      </c>
      <c r="J801" s="266">
        <f t="shared" si="137"/>
        <v>0</v>
      </c>
    </row>
    <row r="802" spans="1:10" ht="11.25" customHeight="1" x14ac:dyDescent="0.2">
      <c r="A802" s="304">
        <v>2110</v>
      </c>
      <c r="B802" s="305" t="s">
        <v>524</v>
      </c>
      <c r="C802" s="270"/>
      <c r="D802" s="270"/>
      <c r="E802" s="270"/>
      <c r="F802" s="270"/>
      <c r="G802" s="270"/>
      <c r="H802" s="270"/>
      <c r="I802" s="270"/>
      <c r="J802" s="270"/>
    </row>
    <row r="803" spans="1:10" ht="11.25" customHeight="1" x14ac:dyDescent="0.2">
      <c r="A803" s="309"/>
      <c r="B803" s="305" t="s">
        <v>525</v>
      </c>
      <c r="C803" s="270"/>
      <c r="D803" s="270"/>
      <c r="E803" s="270"/>
      <c r="F803" s="270"/>
      <c r="G803" s="270"/>
      <c r="H803" s="270"/>
      <c r="I803" s="270"/>
      <c r="J803" s="270"/>
    </row>
    <row r="804" spans="1:10" ht="11.25" customHeight="1" x14ac:dyDescent="0.2">
      <c r="A804" s="312"/>
      <c r="B804" s="313" t="s">
        <v>526</v>
      </c>
      <c r="C804" s="266">
        <f>SUM(D804:F804)</f>
        <v>261418</v>
      </c>
      <c r="D804" s="245">
        <v>261418</v>
      </c>
      <c r="E804" s="245">
        <v>0</v>
      </c>
      <c r="F804" s="245">
        <v>0</v>
      </c>
      <c r="G804" s="245">
        <v>0</v>
      </c>
      <c r="H804" s="245">
        <v>0</v>
      </c>
      <c r="I804" s="245">
        <v>0</v>
      </c>
      <c r="J804" s="245">
        <v>0</v>
      </c>
    </row>
    <row r="805" spans="1:10" ht="24.75" customHeight="1" x14ac:dyDescent="0.2">
      <c r="A805" s="320" t="s">
        <v>527</v>
      </c>
      <c r="B805" s="321" t="s">
        <v>528</v>
      </c>
      <c r="C805" s="322">
        <f>SUM(C808)</f>
        <v>34000</v>
      </c>
      <c r="D805" s="322">
        <f t="shared" ref="D805:J805" si="138">SUM(D808)</f>
        <v>34000</v>
      </c>
      <c r="E805" s="322">
        <f t="shared" si="138"/>
        <v>0</v>
      </c>
      <c r="F805" s="322">
        <f t="shared" si="138"/>
        <v>0</v>
      </c>
      <c r="G805" s="322">
        <f t="shared" si="138"/>
        <v>0</v>
      </c>
      <c r="H805" s="322">
        <f t="shared" si="138"/>
        <v>0</v>
      </c>
      <c r="I805" s="322">
        <f t="shared" si="138"/>
        <v>0</v>
      </c>
      <c r="J805" s="322">
        <f t="shared" si="138"/>
        <v>0</v>
      </c>
    </row>
    <row r="806" spans="1:10" ht="11.25" customHeight="1" x14ac:dyDescent="0.2">
      <c r="A806" s="323" t="s">
        <v>529</v>
      </c>
      <c r="B806" s="324" t="s">
        <v>524</v>
      </c>
      <c r="C806" s="283"/>
      <c r="D806" s="246"/>
      <c r="E806" s="246"/>
      <c r="F806" s="246"/>
      <c r="G806" s="246"/>
      <c r="H806" s="246"/>
      <c r="I806" s="246"/>
      <c r="J806" s="246"/>
    </row>
    <row r="807" spans="1:10" ht="11.25" customHeight="1" x14ac:dyDescent="0.2">
      <c r="A807" s="309"/>
      <c r="B807" s="324" t="s">
        <v>525</v>
      </c>
      <c r="C807" s="256"/>
      <c r="D807" s="247"/>
      <c r="E807" s="247"/>
      <c r="F807" s="247"/>
      <c r="G807" s="247"/>
      <c r="H807" s="247"/>
      <c r="I807" s="247"/>
      <c r="J807" s="247"/>
    </row>
    <row r="808" spans="1:10" ht="12.75" customHeight="1" x14ac:dyDescent="0.2">
      <c r="A808" s="312"/>
      <c r="B808" s="325" t="s">
        <v>526</v>
      </c>
      <c r="C808" s="266">
        <f>SUM(D808)</f>
        <v>34000</v>
      </c>
      <c r="D808" s="245">
        <v>34000</v>
      </c>
      <c r="E808" s="245">
        <v>0</v>
      </c>
      <c r="F808" s="245">
        <v>0</v>
      </c>
      <c r="G808" s="245">
        <v>0</v>
      </c>
      <c r="H808" s="245">
        <v>0</v>
      </c>
      <c r="I808" s="245">
        <v>0</v>
      </c>
      <c r="J808" s="245">
        <v>0</v>
      </c>
    </row>
    <row r="809" spans="1:10" ht="11.25" customHeight="1" x14ac:dyDescent="0.2">
      <c r="A809" s="326">
        <v>71015</v>
      </c>
      <c r="B809" s="313" t="s">
        <v>217</v>
      </c>
      <c r="C809" s="266">
        <f>SUM(C812)</f>
        <v>1108522</v>
      </c>
      <c r="D809" s="266">
        <f t="shared" ref="D809:J809" si="139">SUM(D812)</f>
        <v>1108522</v>
      </c>
      <c r="E809" s="266">
        <f t="shared" si="139"/>
        <v>0</v>
      </c>
      <c r="F809" s="266">
        <f t="shared" si="139"/>
        <v>0</v>
      </c>
      <c r="G809" s="266">
        <f t="shared" si="139"/>
        <v>0</v>
      </c>
      <c r="H809" s="266">
        <f t="shared" si="139"/>
        <v>0</v>
      </c>
      <c r="I809" s="266">
        <f t="shared" si="139"/>
        <v>0</v>
      </c>
      <c r="J809" s="266">
        <f t="shared" si="139"/>
        <v>0</v>
      </c>
    </row>
    <row r="810" spans="1:10" ht="11.25" customHeight="1" x14ac:dyDescent="0.2">
      <c r="A810" s="304">
        <v>2110</v>
      </c>
      <c r="B810" s="305" t="s">
        <v>524</v>
      </c>
      <c r="C810" s="270"/>
      <c r="D810" s="270"/>
      <c r="E810" s="270"/>
      <c r="F810" s="270"/>
      <c r="G810" s="270"/>
      <c r="H810" s="270"/>
      <c r="I810" s="270"/>
      <c r="J810" s="270"/>
    </row>
    <row r="811" spans="1:10" ht="11.25" customHeight="1" x14ac:dyDescent="0.2">
      <c r="A811" s="309"/>
      <c r="B811" s="305" t="s">
        <v>525</v>
      </c>
      <c r="C811" s="270"/>
      <c r="D811" s="270"/>
      <c r="E811" s="270"/>
      <c r="F811" s="270"/>
      <c r="G811" s="270"/>
      <c r="H811" s="270"/>
      <c r="I811" s="270"/>
      <c r="J811" s="270"/>
    </row>
    <row r="812" spans="1:10" ht="11.25" customHeight="1" x14ac:dyDescent="0.2">
      <c r="A812" s="312"/>
      <c r="B812" s="313" t="s">
        <v>526</v>
      </c>
      <c r="C812" s="266">
        <f>SUM(D812:F812)</f>
        <v>1108522</v>
      </c>
      <c r="D812" s="245">
        <v>1108522</v>
      </c>
      <c r="E812" s="245">
        <v>0</v>
      </c>
      <c r="F812" s="245">
        <v>0</v>
      </c>
      <c r="G812" s="245">
        <v>0</v>
      </c>
      <c r="H812" s="245">
        <v>0</v>
      </c>
      <c r="I812" s="245">
        <v>0</v>
      </c>
      <c r="J812" s="245">
        <v>0</v>
      </c>
    </row>
    <row r="813" spans="1:10" ht="11.25" customHeight="1" x14ac:dyDescent="0.2">
      <c r="A813" s="327" t="s">
        <v>530</v>
      </c>
      <c r="B813" s="328" t="s">
        <v>96</v>
      </c>
      <c r="C813" s="322">
        <f>SUM(C816)</f>
        <v>10000</v>
      </c>
      <c r="D813" s="322">
        <f t="shared" ref="D813:J813" si="140">SUM(D816)</f>
        <v>10000</v>
      </c>
      <c r="E813" s="322">
        <f t="shared" si="140"/>
        <v>0</v>
      </c>
      <c r="F813" s="322">
        <f t="shared" si="140"/>
        <v>0</v>
      </c>
      <c r="G813" s="322">
        <f t="shared" si="140"/>
        <v>0</v>
      </c>
      <c r="H813" s="322">
        <f t="shared" si="140"/>
        <v>0</v>
      </c>
      <c r="I813" s="322">
        <f t="shared" si="140"/>
        <v>0</v>
      </c>
      <c r="J813" s="322">
        <f t="shared" si="140"/>
        <v>0</v>
      </c>
    </row>
    <row r="814" spans="1:10" ht="11.25" customHeight="1" x14ac:dyDescent="0.2">
      <c r="A814" s="304">
        <v>2110</v>
      </c>
      <c r="B814" s="305" t="s">
        <v>524</v>
      </c>
      <c r="C814" s="256"/>
      <c r="D814" s="247"/>
      <c r="E814" s="247"/>
      <c r="F814" s="247"/>
      <c r="G814" s="247"/>
      <c r="H814" s="247"/>
      <c r="I814" s="247"/>
      <c r="J814" s="247"/>
    </row>
    <row r="815" spans="1:10" ht="11.25" customHeight="1" x14ac:dyDescent="0.2">
      <c r="A815" s="309"/>
      <c r="B815" s="305" t="s">
        <v>525</v>
      </c>
      <c r="C815" s="256"/>
      <c r="D815" s="247"/>
      <c r="E815" s="247"/>
      <c r="F815" s="247"/>
      <c r="G815" s="247"/>
      <c r="H815" s="247"/>
      <c r="I815" s="247"/>
      <c r="J815" s="247"/>
    </row>
    <row r="816" spans="1:10" ht="11.25" customHeight="1" x14ac:dyDescent="0.2">
      <c r="A816" s="312"/>
      <c r="B816" s="313" t="s">
        <v>526</v>
      </c>
      <c r="C816" s="266">
        <f>SUM(D816)</f>
        <v>10000</v>
      </c>
      <c r="D816" s="245">
        <v>10000</v>
      </c>
      <c r="E816" s="245">
        <v>0</v>
      </c>
      <c r="F816" s="245">
        <v>0</v>
      </c>
      <c r="G816" s="245">
        <v>0</v>
      </c>
      <c r="H816" s="245">
        <v>0</v>
      </c>
      <c r="I816" s="245">
        <v>0</v>
      </c>
      <c r="J816" s="245">
        <v>0</v>
      </c>
    </row>
    <row r="817" spans="1:10" ht="11.25" customHeight="1" thickBot="1" x14ac:dyDescent="0.25">
      <c r="A817" s="316">
        <v>750</v>
      </c>
      <c r="B817" s="317" t="s">
        <v>33</v>
      </c>
      <c r="C817" s="227">
        <f>SUM(C818,)</f>
        <v>166917</v>
      </c>
      <c r="D817" s="227">
        <f t="shared" ref="D817:J817" si="141">SUM(D818,)</f>
        <v>166917</v>
      </c>
      <c r="E817" s="227">
        <f t="shared" si="141"/>
        <v>0</v>
      </c>
      <c r="F817" s="227">
        <f t="shared" si="141"/>
        <v>0</v>
      </c>
      <c r="G817" s="227">
        <f t="shared" si="141"/>
        <v>0</v>
      </c>
      <c r="H817" s="227">
        <f t="shared" si="141"/>
        <v>0</v>
      </c>
      <c r="I817" s="227">
        <f t="shared" si="141"/>
        <v>0</v>
      </c>
      <c r="J817" s="227">
        <f t="shared" si="141"/>
        <v>0</v>
      </c>
    </row>
    <row r="818" spans="1:10" ht="11.25" customHeight="1" thickTop="1" x14ac:dyDescent="0.2">
      <c r="A818" s="318">
        <v>75011</v>
      </c>
      <c r="B818" s="319" t="s">
        <v>225</v>
      </c>
      <c r="C818" s="266">
        <f>SUM(C821)</f>
        <v>166917</v>
      </c>
      <c r="D818" s="266">
        <f t="shared" ref="D818:J818" si="142">SUM(D821)</f>
        <v>166917</v>
      </c>
      <c r="E818" s="266">
        <f t="shared" si="142"/>
        <v>0</v>
      </c>
      <c r="F818" s="266">
        <f t="shared" si="142"/>
        <v>0</v>
      </c>
      <c r="G818" s="266">
        <f t="shared" si="142"/>
        <v>0</v>
      </c>
      <c r="H818" s="266">
        <f t="shared" si="142"/>
        <v>0</v>
      </c>
      <c r="I818" s="266">
        <f t="shared" si="142"/>
        <v>0</v>
      </c>
      <c r="J818" s="266">
        <f t="shared" si="142"/>
        <v>0</v>
      </c>
    </row>
    <row r="819" spans="1:10" ht="11.25" customHeight="1" x14ac:dyDescent="0.2">
      <c r="A819" s="304">
        <v>2110</v>
      </c>
      <c r="B819" s="305" t="s">
        <v>524</v>
      </c>
      <c r="C819" s="270"/>
      <c r="D819" s="270"/>
      <c r="E819" s="270"/>
      <c r="F819" s="270"/>
      <c r="G819" s="270"/>
      <c r="H819" s="270"/>
      <c r="I819" s="270"/>
      <c r="J819" s="270"/>
    </row>
    <row r="820" spans="1:10" ht="11.25" customHeight="1" x14ac:dyDescent="0.2">
      <c r="A820" s="309"/>
      <c r="B820" s="305" t="s">
        <v>525</v>
      </c>
      <c r="C820" s="270"/>
      <c r="D820" s="270"/>
      <c r="E820" s="270"/>
      <c r="F820" s="270"/>
      <c r="G820" s="270"/>
      <c r="H820" s="270"/>
      <c r="I820" s="270"/>
      <c r="J820" s="270"/>
    </row>
    <row r="821" spans="1:10" ht="11.25" customHeight="1" x14ac:dyDescent="0.2">
      <c r="A821" s="312"/>
      <c r="B821" s="313" t="s">
        <v>526</v>
      </c>
      <c r="C821" s="266">
        <f>SUM(D821:F821)</f>
        <v>166917</v>
      </c>
      <c r="D821" s="245">
        <v>166917</v>
      </c>
      <c r="E821" s="245">
        <v>0</v>
      </c>
      <c r="F821" s="245">
        <v>0</v>
      </c>
      <c r="G821" s="245">
        <v>0</v>
      </c>
      <c r="H821" s="245">
        <v>0</v>
      </c>
      <c r="I821" s="245">
        <v>0</v>
      </c>
      <c r="J821" s="245">
        <v>0</v>
      </c>
    </row>
    <row r="822" spans="1:10" ht="11.25" customHeight="1" thickBot="1" x14ac:dyDescent="0.25">
      <c r="A822" s="316">
        <v>752</v>
      </c>
      <c r="B822" s="317" t="s">
        <v>38</v>
      </c>
      <c r="C822" s="227">
        <f>SUM(C827,C823)</f>
        <v>62000</v>
      </c>
      <c r="D822" s="227">
        <f t="shared" ref="D822:J822" si="143">SUM(D827,D823)</f>
        <v>62000</v>
      </c>
      <c r="E822" s="227">
        <f t="shared" si="143"/>
        <v>0</v>
      </c>
      <c r="F822" s="227">
        <f t="shared" si="143"/>
        <v>0</v>
      </c>
      <c r="G822" s="227">
        <f t="shared" si="143"/>
        <v>0</v>
      </c>
      <c r="H822" s="227">
        <f t="shared" si="143"/>
        <v>0</v>
      </c>
      <c r="I822" s="227">
        <f t="shared" si="143"/>
        <v>0</v>
      </c>
      <c r="J822" s="227">
        <f t="shared" si="143"/>
        <v>0</v>
      </c>
    </row>
    <row r="823" spans="1:10" ht="11.25" customHeight="1" thickTop="1" x14ac:dyDescent="0.2">
      <c r="A823" s="264" t="s">
        <v>531</v>
      </c>
      <c r="B823" s="265" t="s">
        <v>532</v>
      </c>
      <c r="C823" s="254">
        <f>SUM(C826)</f>
        <v>3000</v>
      </c>
      <c r="D823" s="254">
        <f t="shared" ref="D823:J823" si="144">SUM(D826)</f>
        <v>3000</v>
      </c>
      <c r="E823" s="254">
        <f t="shared" si="144"/>
        <v>0</v>
      </c>
      <c r="F823" s="254">
        <f t="shared" si="144"/>
        <v>0</v>
      </c>
      <c r="G823" s="254">
        <f t="shared" si="144"/>
        <v>0</v>
      </c>
      <c r="H823" s="254">
        <f t="shared" si="144"/>
        <v>0</v>
      </c>
      <c r="I823" s="254">
        <f t="shared" si="144"/>
        <v>0</v>
      </c>
      <c r="J823" s="254">
        <f t="shared" si="144"/>
        <v>0</v>
      </c>
    </row>
    <row r="824" spans="1:10" ht="11.25" customHeight="1" x14ac:dyDescent="0.2">
      <c r="A824" s="304">
        <v>2110</v>
      </c>
      <c r="B824" s="305" t="s">
        <v>524</v>
      </c>
      <c r="C824" s="251"/>
      <c r="D824" s="251"/>
      <c r="E824" s="251"/>
      <c r="F824" s="251"/>
      <c r="G824" s="251"/>
      <c r="H824" s="251"/>
      <c r="I824" s="251"/>
      <c r="J824" s="251"/>
    </row>
    <row r="825" spans="1:10" ht="11.25" customHeight="1" x14ac:dyDescent="0.2">
      <c r="A825" s="309"/>
      <c r="B825" s="305" t="s">
        <v>525</v>
      </c>
      <c r="C825" s="251"/>
      <c r="D825" s="251"/>
      <c r="E825" s="251"/>
      <c r="F825" s="251"/>
      <c r="G825" s="251"/>
      <c r="H825" s="251"/>
      <c r="I825" s="251"/>
      <c r="J825" s="251"/>
    </row>
    <row r="826" spans="1:10" ht="11.25" customHeight="1" x14ac:dyDescent="0.2">
      <c r="A826" s="309"/>
      <c r="B826" s="329" t="s">
        <v>526</v>
      </c>
      <c r="C826" s="256">
        <f>SUM(D826)</f>
        <v>3000</v>
      </c>
      <c r="D826" s="256">
        <v>3000</v>
      </c>
      <c r="E826" s="256">
        <v>0</v>
      </c>
      <c r="F826" s="256">
        <v>0</v>
      </c>
      <c r="G826" s="256">
        <v>0</v>
      </c>
      <c r="H826" s="256">
        <v>0</v>
      </c>
      <c r="I826" s="256">
        <v>0</v>
      </c>
      <c r="J826" s="256">
        <v>0</v>
      </c>
    </row>
    <row r="827" spans="1:10" ht="11.25" customHeight="1" x14ac:dyDescent="0.2">
      <c r="A827" s="326" t="s">
        <v>436</v>
      </c>
      <c r="B827" s="313" t="s">
        <v>437</v>
      </c>
      <c r="C827" s="266">
        <f>SUM(C830)</f>
        <v>59000</v>
      </c>
      <c r="D827" s="266">
        <f t="shared" ref="D827:J827" si="145">SUM(D830)</f>
        <v>59000</v>
      </c>
      <c r="E827" s="266">
        <f t="shared" si="145"/>
        <v>0</v>
      </c>
      <c r="F827" s="266">
        <f t="shared" si="145"/>
        <v>0</v>
      </c>
      <c r="G827" s="266">
        <f t="shared" si="145"/>
        <v>0</v>
      </c>
      <c r="H827" s="266">
        <f t="shared" si="145"/>
        <v>0</v>
      </c>
      <c r="I827" s="266">
        <f t="shared" si="145"/>
        <v>0</v>
      </c>
      <c r="J827" s="266">
        <f t="shared" si="145"/>
        <v>0</v>
      </c>
    </row>
    <row r="828" spans="1:10" ht="11.25" customHeight="1" x14ac:dyDescent="0.2">
      <c r="A828" s="304">
        <v>2110</v>
      </c>
      <c r="B828" s="305" t="s">
        <v>524</v>
      </c>
      <c r="C828" s="270"/>
      <c r="D828" s="270"/>
      <c r="E828" s="270"/>
      <c r="F828" s="270"/>
      <c r="G828" s="270"/>
      <c r="H828" s="270"/>
      <c r="I828" s="270"/>
      <c r="J828" s="270"/>
    </row>
    <row r="829" spans="1:10" ht="11.25" customHeight="1" x14ac:dyDescent="0.2">
      <c r="A829" s="309"/>
      <c r="B829" s="305" t="s">
        <v>525</v>
      </c>
      <c r="C829" s="270"/>
      <c r="D829" s="270"/>
      <c r="E829" s="270"/>
      <c r="F829" s="270"/>
      <c r="G829" s="270"/>
      <c r="H829" s="270"/>
      <c r="I829" s="270"/>
      <c r="J829" s="270"/>
    </row>
    <row r="830" spans="1:10" ht="11.25" customHeight="1" x14ac:dyDescent="0.2">
      <c r="A830" s="312"/>
      <c r="B830" s="313" t="s">
        <v>526</v>
      </c>
      <c r="C830" s="266">
        <f>SUM(D830:F830)</f>
        <v>59000</v>
      </c>
      <c r="D830" s="245">
        <v>59000</v>
      </c>
      <c r="E830" s="245">
        <v>0</v>
      </c>
      <c r="F830" s="245">
        <v>0</v>
      </c>
      <c r="G830" s="245">
        <v>0</v>
      </c>
      <c r="H830" s="245">
        <v>0</v>
      </c>
      <c r="I830" s="245">
        <v>0</v>
      </c>
      <c r="J830" s="245">
        <v>0</v>
      </c>
    </row>
    <row r="831" spans="1:10" ht="11.25" customHeight="1" thickBot="1" x14ac:dyDescent="0.25">
      <c r="A831" s="316">
        <v>754</v>
      </c>
      <c r="B831" s="317" t="s">
        <v>533</v>
      </c>
      <c r="C831" s="227">
        <f t="shared" ref="C831:J831" si="146">SUM(C832)</f>
        <v>21770703</v>
      </c>
      <c r="D831" s="227">
        <f t="shared" si="146"/>
        <v>21770703</v>
      </c>
      <c r="E831" s="227">
        <f t="shared" si="146"/>
        <v>0</v>
      </c>
      <c r="F831" s="227">
        <f t="shared" si="146"/>
        <v>0</v>
      </c>
      <c r="G831" s="227">
        <f t="shared" si="146"/>
        <v>0</v>
      </c>
      <c r="H831" s="227">
        <f t="shared" si="146"/>
        <v>0</v>
      </c>
      <c r="I831" s="227">
        <f t="shared" si="146"/>
        <v>0</v>
      </c>
      <c r="J831" s="227">
        <f t="shared" si="146"/>
        <v>0</v>
      </c>
    </row>
    <row r="832" spans="1:10" ht="11.25" customHeight="1" thickTop="1" x14ac:dyDescent="0.2">
      <c r="A832" s="318">
        <v>75411</v>
      </c>
      <c r="B832" s="319" t="s">
        <v>443</v>
      </c>
      <c r="C832" s="266">
        <f>SUM(C835)</f>
        <v>21770703</v>
      </c>
      <c r="D832" s="266">
        <f t="shared" ref="D832:J832" si="147">SUM(D835)</f>
        <v>21770703</v>
      </c>
      <c r="E832" s="266">
        <f t="shared" si="147"/>
        <v>0</v>
      </c>
      <c r="F832" s="266">
        <f t="shared" si="147"/>
        <v>0</v>
      </c>
      <c r="G832" s="266">
        <f t="shared" si="147"/>
        <v>0</v>
      </c>
      <c r="H832" s="266">
        <f t="shared" si="147"/>
        <v>0</v>
      </c>
      <c r="I832" s="266">
        <f t="shared" si="147"/>
        <v>0</v>
      </c>
      <c r="J832" s="266">
        <f t="shared" si="147"/>
        <v>0</v>
      </c>
    </row>
    <row r="833" spans="1:10" ht="11.25" customHeight="1" x14ac:dyDescent="0.2">
      <c r="A833" s="304">
        <v>2110</v>
      </c>
      <c r="B833" s="305" t="s">
        <v>524</v>
      </c>
      <c r="C833" s="270"/>
      <c r="D833" s="270"/>
      <c r="E833" s="270"/>
      <c r="F833" s="270"/>
      <c r="G833" s="270"/>
      <c r="H833" s="270"/>
      <c r="I833" s="270"/>
      <c r="J833" s="270"/>
    </row>
    <row r="834" spans="1:10" ht="11.25" customHeight="1" x14ac:dyDescent="0.2">
      <c r="A834" s="309"/>
      <c r="B834" s="305" t="s">
        <v>525</v>
      </c>
      <c r="C834" s="270"/>
      <c r="D834" s="270"/>
      <c r="E834" s="270"/>
      <c r="F834" s="270"/>
      <c r="G834" s="270"/>
      <c r="H834" s="270"/>
      <c r="I834" s="270"/>
      <c r="J834" s="270"/>
    </row>
    <row r="835" spans="1:10" ht="11.25" customHeight="1" x14ac:dyDescent="0.2">
      <c r="A835" s="312"/>
      <c r="B835" s="313" t="s">
        <v>526</v>
      </c>
      <c r="C835" s="266">
        <f>SUM(D835:F835)</f>
        <v>21770703</v>
      </c>
      <c r="D835" s="245">
        <v>21770703</v>
      </c>
      <c r="E835" s="245">
        <v>0</v>
      </c>
      <c r="F835" s="245">
        <v>0</v>
      </c>
      <c r="G835" s="245">
        <v>0</v>
      </c>
      <c r="H835" s="245">
        <v>0</v>
      </c>
      <c r="I835" s="245">
        <v>0</v>
      </c>
      <c r="J835" s="245">
        <v>0</v>
      </c>
    </row>
    <row r="836" spans="1:10" ht="11.25" customHeight="1" thickBot="1" x14ac:dyDescent="0.25">
      <c r="A836" s="316">
        <v>755</v>
      </c>
      <c r="B836" s="317" t="s">
        <v>43</v>
      </c>
      <c r="C836" s="227">
        <f t="shared" ref="C836:J836" si="148">SUM(C837)</f>
        <v>302880</v>
      </c>
      <c r="D836" s="227">
        <f t="shared" si="148"/>
        <v>302880</v>
      </c>
      <c r="E836" s="227">
        <f t="shared" si="148"/>
        <v>0</v>
      </c>
      <c r="F836" s="227">
        <f t="shared" si="148"/>
        <v>0</v>
      </c>
      <c r="G836" s="227">
        <f t="shared" si="148"/>
        <v>0</v>
      </c>
      <c r="H836" s="227">
        <f t="shared" si="148"/>
        <v>0</v>
      </c>
      <c r="I836" s="227">
        <f t="shared" si="148"/>
        <v>0</v>
      </c>
      <c r="J836" s="227">
        <f t="shared" si="148"/>
        <v>0</v>
      </c>
    </row>
    <row r="837" spans="1:10" ht="11.25" customHeight="1" thickTop="1" x14ac:dyDescent="0.2">
      <c r="A837" s="318">
        <v>75515</v>
      </c>
      <c r="B837" s="319" t="s">
        <v>534</v>
      </c>
      <c r="C837" s="266">
        <f>SUM(C840)</f>
        <v>302880</v>
      </c>
      <c r="D837" s="266">
        <f t="shared" ref="D837:J837" si="149">SUM(D840)</f>
        <v>302880</v>
      </c>
      <c r="E837" s="266">
        <f t="shared" si="149"/>
        <v>0</v>
      </c>
      <c r="F837" s="266">
        <f t="shared" si="149"/>
        <v>0</v>
      </c>
      <c r="G837" s="266">
        <f t="shared" si="149"/>
        <v>0</v>
      </c>
      <c r="H837" s="266">
        <f t="shared" si="149"/>
        <v>0</v>
      </c>
      <c r="I837" s="266">
        <f t="shared" si="149"/>
        <v>0</v>
      </c>
      <c r="J837" s="266">
        <f t="shared" si="149"/>
        <v>0</v>
      </c>
    </row>
    <row r="838" spans="1:10" ht="11.25" customHeight="1" x14ac:dyDescent="0.2">
      <c r="A838" s="304">
        <v>2110</v>
      </c>
      <c r="B838" s="305" t="s">
        <v>524</v>
      </c>
      <c r="C838" s="270"/>
      <c r="D838" s="270"/>
      <c r="E838" s="270"/>
      <c r="F838" s="270"/>
      <c r="G838" s="270"/>
      <c r="H838" s="270"/>
      <c r="I838" s="270"/>
      <c r="J838" s="270"/>
    </row>
    <row r="839" spans="1:10" ht="11.25" customHeight="1" x14ac:dyDescent="0.2">
      <c r="A839" s="309"/>
      <c r="B839" s="305" t="s">
        <v>525</v>
      </c>
      <c r="C839" s="270"/>
      <c r="D839" s="270"/>
      <c r="E839" s="270"/>
      <c r="F839" s="270"/>
      <c r="G839" s="270"/>
      <c r="H839" s="270"/>
      <c r="I839" s="270"/>
      <c r="J839" s="270"/>
    </row>
    <row r="840" spans="1:10" ht="11.25" customHeight="1" x14ac:dyDescent="0.2">
      <c r="A840" s="309"/>
      <c r="B840" s="305" t="s">
        <v>526</v>
      </c>
      <c r="C840" s="256">
        <f>SUM(D840:F840)</f>
        <v>302880</v>
      </c>
      <c r="D840" s="247">
        <v>302880</v>
      </c>
      <c r="E840" s="247">
        <v>0</v>
      </c>
      <c r="F840" s="247">
        <v>0</v>
      </c>
      <c r="G840" s="247">
        <v>0</v>
      </c>
      <c r="H840" s="247">
        <v>0</v>
      </c>
      <c r="I840" s="247">
        <v>0</v>
      </c>
      <c r="J840" s="247">
        <v>0</v>
      </c>
    </row>
    <row r="841" spans="1:10" ht="11.25" customHeight="1" thickBot="1" x14ac:dyDescent="0.25">
      <c r="A841" s="262">
        <v>852</v>
      </c>
      <c r="B841" s="263" t="s">
        <v>55</v>
      </c>
      <c r="C841" s="227">
        <f>SUM(C842)</f>
        <v>672000</v>
      </c>
      <c r="D841" s="227">
        <f t="shared" ref="D841:J841" si="150">SUM(D842)</f>
        <v>672000</v>
      </c>
      <c r="E841" s="227">
        <f t="shared" si="150"/>
        <v>0</v>
      </c>
      <c r="F841" s="227">
        <f t="shared" si="150"/>
        <v>0</v>
      </c>
      <c r="G841" s="227">
        <f t="shared" si="150"/>
        <v>0</v>
      </c>
      <c r="H841" s="227">
        <f t="shared" si="150"/>
        <v>0</v>
      </c>
      <c r="I841" s="227">
        <f t="shared" si="150"/>
        <v>0</v>
      </c>
      <c r="J841" s="227">
        <f t="shared" si="150"/>
        <v>0</v>
      </c>
    </row>
    <row r="842" spans="1:10" ht="11.25" customHeight="1" thickTop="1" x14ac:dyDescent="0.2">
      <c r="A842" s="330">
        <v>85205</v>
      </c>
      <c r="B842" s="319" t="s">
        <v>339</v>
      </c>
      <c r="C842" s="254">
        <f>SUM(C845)</f>
        <v>672000</v>
      </c>
      <c r="D842" s="254">
        <f t="shared" ref="D842:J842" si="151">SUM(D845)</f>
        <v>672000</v>
      </c>
      <c r="E842" s="254">
        <f t="shared" si="151"/>
        <v>0</v>
      </c>
      <c r="F842" s="254">
        <f t="shared" si="151"/>
        <v>0</v>
      </c>
      <c r="G842" s="254">
        <f t="shared" si="151"/>
        <v>0</v>
      </c>
      <c r="H842" s="254">
        <f t="shared" si="151"/>
        <v>0</v>
      </c>
      <c r="I842" s="254">
        <f t="shared" si="151"/>
        <v>0</v>
      </c>
      <c r="J842" s="254">
        <f t="shared" si="151"/>
        <v>0</v>
      </c>
    </row>
    <row r="843" spans="1:10" ht="11.25" customHeight="1" x14ac:dyDescent="0.2">
      <c r="A843" s="304">
        <v>2110</v>
      </c>
      <c r="B843" s="305" t="s">
        <v>524</v>
      </c>
      <c r="C843" s="256"/>
      <c r="D843" s="247"/>
      <c r="E843" s="247"/>
      <c r="F843" s="247"/>
      <c r="G843" s="247"/>
      <c r="H843" s="247"/>
      <c r="I843" s="247"/>
      <c r="J843" s="270"/>
    </row>
    <row r="844" spans="1:10" ht="11.25" customHeight="1" x14ac:dyDescent="0.2">
      <c r="A844" s="309"/>
      <c r="B844" s="305" t="s">
        <v>525</v>
      </c>
      <c r="C844" s="256"/>
      <c r="D844" s="247"/>
      <c r="E844" s="247"/>
      <c r="F844" s="247"/>
      <c r="G844" s="247"/>
      <c r="H844" s="247"/>
      <c r="I844" s="247"/>
      <c r="J844" s="270"/>
    </row>
    <row r="845" spans="1:10" ht="11.25" customHeight="1" x14ac:dyDescent="0.2">
      <c r="A845" s="309"/>
      <c r="B845" s="305" t="s">
        <v>526</v>
      </c>
      <c r="C845" s="256">
        <f>SUM(D845+F845)</f>
        <v>672000</v>
      </c>
      <c r="D845" s="247">
        <v>672000</v>
      </c>
      <c r="E845" s="247">
        <v>0</v>
      </c>
      <c r="F845" s="247">
        <v>0</v>
      </c>
      <c r="G845" s="247">
        <v>0</v>
      </c>
      <c r="H845" s="247">
        <v>0</v>
      </c>
      <c r="I845" s="247">
        <v>0</v>
      </c>
      <c r="J845" s="247">
        <v>0</v>
      </c>
    </row>
    <row r="846" spans="1:10" ht="11.25" customHeight="1" thickBot="1" x14ac:dyDescent="0.25">
      <c r="A846" s="316">
        <v>853</v>
      </c>
      <c r="B846" s="317" t="s">
        <v>57</v>
      </c>
      <c r="C846" s="227">
        <f>SUM(C847)</f>
        <v>697000</v>
      </c>
      <c r="D846" s="227">
        <f t="shared" ref="D846:J846" si="152">SUM(D847)</f>
        <v>697000</v>
      </c>
      <c r="E846" s="227">
        <f>SUM(E847)</f>
        <v>0</v>
      </c>
      <c r="F846" s="227">
        <f>SUM(F847)</f>
        <v>0</v>
      </c>
      <c r="G846" s="227">
        <f t="shared" si="152"/>
        <v>0</v>
      </c>
      <c r="H846" s="227">
        <f t="shared" si="152"/>
        <v>0</v>
      </c>
      <c r="I846" s="227">
        <f t="shared" si="152"/>
        <v>0</v>
      </c>
      <c r="J846" s="227">
        <f t="shared" si="152"/>
        <v>0</v>
      </c>
    </row>
    <row r="847" spans="1:10" ht="11.25" customHeight="1" thickTop="1" x14ac:dyDescent="0.2">
      <c r="A847" s="318">
        <v>85321</v>
      </c>
      <c r="B847" s="319" t="s">
        <v>481</v>
      </c>
      <c r="C847" s="266">
        <f>SUM(C850)</f>
        <v>697000</v>
      </c>
      <c r="D847" s="266">
        <f>SUM(D850)</f>
        <v>697000</v>
      </c>
      <c r="E847" s="266">
        <f t="shared" ref="E847:J847" si="153">SUM(E851:E851)</f>
        <v>0</v>
      </c>
      <c r="F847" s="266">
        <f t="shared" si="153"/>
        <v>0</v>
      </c>
      <c r="G847" s="266">
        <f t="shared" si="153"/>
        <v>0</v>
      </c>
      <c r="H847" s="266">
        <f t="shared" si="153"/>
        <v>0</v>
      </c>
      <c r="I847" s="266">
        <f t="shared" si="153"/>
        <v>0</v>
      </c>
      <c r="J847" s="266">
        <f t="shared" si="153"/>
        <v>0</v>
      </c>
    </row>
    <row r="848" spans="1:10" ht="11.25" customHeight="1" x14ac:dyDescent="0.2">
      <c r="A848" s="304">
        <v>2110</v>
      </c>
      <c r="B848" s="305" t="s">
        <v>524</v>
      </c>
      <c r="C848" s="270"/>
      <c r="D848" s="270"/>
      <c r="E848" s="310"/>
      <c r="F848" s="310"/>
      <c r="G848" s="310"/>
      <c r="H848" s="310"/>
      <c r="I848" s="310"/>
      <c r="J848" s="310"/>
    </row>
    <row r="849" spans="1:10" ht="11.25" customHeight="1" x14ac:dyDescent="0.2">
      <c r="A849" s="309"/>
      <c r="B849" s="305" t="s">
        <v>525</v>
      </c>
      <c r="C849" s="270"/>
      <c r="D849" s="270"/>
      <c r="E849" s="310"/>
      <c r="F849" s="310"/>
      <c r="G849" s="310"/>
      <c r="H849" s="310"/>
      <c r="I849" s="310"/>
      <c r="J849" s="310"/>
    </row>
    <row r="850" spans="1:10" ht="11.25" customHeight="1" x14ac:dyDescent="0.2">
      <c r="A850" s="309"/>
      <c r="B850" s="305" t="s">
        <v>526</v>
      </c>
      <c r="C850" s="256">
        <f>SUM(D850:F850)</f>
        <v>697000</v>
      </c>
      <c r="D850" s="247">
        <v>697000</v>
      </c>
      <c r="E850" s="247">
        <v>0</v>
      </c>
      <c r="F850" s="247">
        <v>0</v>
      </c>
      <c r="G850" s="247">
        <v>0</v>
      </c>
      <c r="H850" s="247">
        <v>0</v>
      </c>
      <c r="I850" s="247">
        <v>0</v>
      </c>
      <c r="J850" s="331">
        <v>0</v>
      </c>
    </row>
    <row r="851" spans="1:10" ht="11.25" customHeight="1" x14ac:dyDescent="0.2">
      <c r="A851" s="332"/>
      <c r="B851" s="368" t="s">
        <v>521</v>
      </c>
      <c r="C851" s="289">
        <f>SUM(,C795,C800,C817,C822,C831,C836,C841,C846,C790)</f>
        <v>25646440</v>
      </c>
      <c r="D851" s="289">
        <f>SUM(,D795,D800,D817,D822,D831,D836,D841,D846,D790)</f>
        <v>25646440</v>
      </c>
      <c r="E851" s="289">
        <v>0</v>
      </c>
      <c r="F851" s="289">
        <f>SUM(G851:J851)</f>
        <v>0</v>
      </c>
      <c r="G851" s="289">
        <v>0</v>
      </c>
      <c r="H851" s="289">
        <v>0</v>
      </c>
      <c r="I851" s="289">
        <v>0</v>
      </c>
      <c r="J851" s="289">
        <v>0</v>
      </c>
    </row>
    <row r="852" spans="1:10" ht="11.25" customHeight="1" x14ac:dyDescent="0.2">
      <c r="A852" s="333"/>
      <c r="B852" s="334" t="s">
        <v>535</v>
      </c>
      <c r="C852" s="335">
        <f t="shared" ref="C852:J852" si="154">C537+C732+C787+C851</f>
        <v>1307182791.54</v>
      </c>
      <c r="D852" s="335">
        <f t="shared" si="154"/>
        <v>1023110649.0899999</v>
      </c>
      <c r="E852" s="335">
        <f t="shared" si="154"/>
        <v>6242732.1400000006</v>
      </c>
      <c r="F852" s="335">
        <f t="shared" si="154"/>
        <v>284072142.45000005</v>
      </c>
      <c r="G852" s="335">
        <f t="shared" si="154"/>
        <v>127171229.3</v>
      </c>
      <c r="H852" s="335">
        <f t="shared" si="154"/>
        <v>4752218</v>
      </c>
      <c r="I852" s="335">
        <f t="shared" si="154"/>
        <v>120000</v>
      </c>
      <c r="J852" s="335">
        <f t="shared" si="154"/>
        <v>152028695.15000001</v>
      </c>
    </row>
  </sheetData>
  <mergeCells count="7">
    <mergeCell ref="J9:J10"/>
    <mergeCell ref="D8:D11"/>
    <mergeCell ref="F8:F10"/>
    <mergeCell ref="E9:E10"/>
    <mergeCell ref="G9:G10"/>
    <mergeCell ref="H9:H10"/>
    <mergeCell ref="I9:I10"/>
  </mergeCells>
  <pageMargins left="0.59055118110236227" right="0.39370078740157483" top="0.59055118110236227" bottom="0.59055118110236227" header="0.51181102362204722" footer="0.51181102362204722"/>
  <pageSetup paperSize="9" scale="90" orientation="landscape" useFirstPageNumber="1" r:id="rId1"/>
  <headerFooter alignWithMargins="0">
    <oddFooter>&amp;C&amp;"Arial,Pogrubiony"&amp;8&amp;P</oddFooter>
  </headerFooter>
  <rowBreaks count="22" manualBreakCount="22">
    <brk id="39" max="16383" man="1"/>
    <brk id="74" max="16383" man="1"/>
    <brk id="112" max="16383" man="1"/>
    <brk id="145" max="16383" man="1"/>
    <brk id="176" max="16383" man="1"/>
    <brk id="217" max="16383" man="1"/>
    <brk id="259" max="16383" man="1"/>
    <brk id="300" max="16383" man="1"/>
    <brk id="343" max="16383" man="1"/>
    <brk id="381" max="16383" man="1"/>
    <brk id="423" max="16383" man="1"/>
    <brk id="465" max="16383" man="1"/>
    <brk id="504" max="16383" man="1"/>
    <brk id="543" max="16383" man="1"/>
    <brk id="572" max="16383" man="1"/>
    <brk id="614" max="16383" man="1"/>
    <brk id="649" max="16383" man="1"/>
    <brk id="689" max="16383" man="1"/>
    <brk id="726" max="16383" man="1"/>
    <brk id="763" max="16383" man="1"/>
    <brk id="794" max="16383" man="1"/>
    <brk id="830" max="16383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67B00A-5B41-4A0B-930E-4B5D902A6185}">
  <dimension ref="A1:Q297"/>
  <sheetViews>
    <sheetView zoomScale="120" zoomScaleNormal="120" workbookViewId="0">
      <selection activeCell="A9" sqref="A9:N274"/>
    </sheetView>
  </sheetViews>
  <sheetFormatPr defaultRowHeight="12.75" x14ac:dyDescent="0.2"/>
  <cols>
    <col min="1" max="1" width="4.140625" style="1" customWidth="1"/>
    <col min="2" max="2" width="5.5703125" style="1" customWidth="1"/>
    <col min="3" max="3" width="34" style="1" customWidth="1"/>
    <col min="4" max="4" width="12.28515625" style="1" customWidth="1"/>
    <col min="5" max="5" width="12.42578125" style="1" customWidth="1"/>
    <col min="6" max="6" width="11.28515625" style="1" customWidth="1"/>
    <col min="7" max="7" width="11.5703125" style="1" customWidth="1"/>
    <col min="8" max="8" width="11" style="1" customWidth="1"/>
    <col min="9" max="9" width="11.140625" style="1" customWidth="1"/>
    <col min="10" max="11" width="11" style="1" customWidth="1"/>
    <col min="12" max="12" width="11.140625" style="1" customWidth="1"/>
    <col min="13" max="13" width="10.85546875" style="1" customWidth="1"/>
    <col min="14" max="14" width="11" style="1" customWidth="1"/>
    <col min="15" max="15" width="10.140625" style="336" customWidth="1"/>
    <col min="16" max="16" width="9.42578125" style="1" bestFit="1" customWidth="1"/>
    <col min="17" max="256" width="9.140625" style="1"/>
    <col min="257" max="257" width="4.140625" style="1" customWidth="1"/>
    <col min="258" max="258" width="5.5703125" style="1" customWidth="1"/>
    <col min="259" max="259" width="34" style="1" customWidth="1"/>
    <col min="260" max="260" width="12.28515625" style="1" customWidth="1"/>
    <col min="261" max="261" width="12.42578125" style="1" customWidth="1"/>
    <col min="262" max="262" width="11.28515625" style="1" customWidth="1"/>
    <col min="263" max="263" width="11.5703125" style="1" customWidth="1"/>
    <col min="264" max="264" width="11" style="1" customWidth="1"/>
    <col min="265" max="265" width="11.140625" style="1" customWidth="1"/>
    <col min="266" max="267" width="11" style="1" customWidth="1"/>
    <col min="268" max="268" width="11.140625" style="1" customWidth="1"/>
    <col min="269" max="269" width="10.85546875" style="1" customWidth="1"/>
    <col min="270" max="270" width="11" style="1" customWidth="1"/>
    <col min="271" max="271" width="10.140625" style="1" customWidth="1"/>
    <col min="272" max="272" width="9.42578125" style="1" bestFit="1" customWidth="1"/>
    <col min="273" max="512" width="9.140625" style="1"/>
    <col min="513" max="513" width="4.140625" style="1" customWidth="1"/>
    <col min="514" max="514" width="5.5703125" style="1" customWidth="1"/>
    <col min="515" max="515" width="34" style="1" customWidth="1"/>
    <col min="516" max="516" width="12.28515625" style="1" customWidth="1"/>
    <col min="517" max="517" width="12.42578125" style="1" customWidth="1"/>
    <col min="518" max="518" width="11.28515625" style="1" customWidth="1"/>
    <col min="519" max="519" width="11.5703125" style="1" customWidth="1"/>
    <col min="520" max="520" width="11" style="1" customWidth="1"/>
    <col min="521" max="521" width="11.140625" style="1" customWidth="1"/>
    <col min="522" max="523" width="11" style="1" customWidth="1"/>
    <col min="524" max="524" width="11.140625" style="1" customWidth="1"/>
    <col min="525" max="525" width="10.85546875" style="1" customWidth="1"/>
    <col min="526" max="526" width="11" style="1" customWidth="1"/>
    <col min="527" max="527" width="10.140625" style="1" customWidth="1"/>
    <col min="528" max="528" width="9.42578125" style="1" bestFit="1" customWidth="1"/>
    <col min="529" max="768" width="9.140625" style="1"/>
    <col min="769" max="769" width="4.140625" style="1" customWidth="1"/>
    <col min="770" max="770" width="5.5703125" style="1" customWidth="1"/>
    <col min="771" max="771" width="34" style="1" customWidth="1"/>
    <col min="772" max="772" width="12.28515625" style="1" customWidth="1"/>
    <col min="773" max="773" width="12.42578125" style="1" customWidth="1"/>
    <col min="774" max="774" width="11.28515625" style="1" customWidth="1"/>
    <col min="775" max="775" width="11.5703125" style="1" customWidth="1"/>
    <col min="776" max="776" width="11" style="1" customWidth="1"/>
    <col min="777" max="777" width="11.140625" style="1" customWidth="1"/>
    <col min="778" max="779" width="11" style="1" customWidth="1"/>
    <col min="780" max="780" width="11.140625" style="1" customWidth="1"/>
    <col min="781" max="781" width="10.85546875" style="1" customWidth="1"/>
    <col min="782" max="782" width="11" style="1" customWidth="1"/>
    <col min="783" max="783" width="10.140625" style="1" customWidth="1"/>
    <col min="784" max="784" width="9.42578125" style="1" bestFit="1" customWidth="1"/>
    <col min="785" max="1024" width="9.140625" style="1"/>
    <col min="1025" max="1025" width="4.140625" style="1" customWidth="1"/>
    <col min="1026" max="1026" width="5.5703125" style="1" customWidth="1"/>
    <col min="1027" max="1027" width="34" style="1" customWidth="1"/>
    <col min="1028" max="1028" width="12.28515625" style="1" customWidth="1"/>
    <col min="1029" max="1029" width="12.42578125" style="1" customWidth="1"/>
    <col min="1030" max="1030" width="11.28515625" style="1" customWidth="1"/>
    <col min="1031" max="1031" width="11.5703125" style="1" customWidth="1"/>
    <col min="1032" max="1032" width="11" style="1" customWidth="1"/>
    <col min="1033" max="1033" width="11.140625" style="1" customWidth="1"/>
    <col min="1034" max="1035" width="11" style="1" customWidth="1"/>
    <col min="1036" max="1036" width="11.140625" style="1" customWidth="1"/>
    <col min="1037" max="1037" width="10.85546875" style="1" customWidth="1"/>
    <col min="1038" max="1038" width="11" style="1" customWidth="1"/>
    <col min="1039" max="1039" width="10.140625" style="1" customWidth="1"/>
    <col min="1040" max="1040" width="9.42578125" style="1" bestFit="1" customWidth="1"/>
    <col min="1041" max="1280" width="9.140625" style="1"/>
    <col min="1281" max="1281" width="4.140625" style="1" customWidth="1"/>
    <col min="1282" max="1282" width="5.5703125" style="1" customWidth="1"/>
    <col min="1283" max="1283" width="34" style="1" customWidth="1"/>
    <col min="1284" max="1284" width="12.28515625" style="1" customWidth="1"/>
    <col min="1285" max="1285" width="12.42578125" style="1" customWidth="1"/>
    <col min="1286" max="1286" width="11.28515625" style="1" customWidth="1"/>
    <col min="1287" max="1287" width="11.5703125" style="1" customWidth="1"/>
    <col min="1288" max="1288" width="11" style="1" customWidth="1"/>
    <col min="1289" max="1289" width="11.140625" style="1" customWidth="1"/>
    <col min="1290" max="1291" width="11" style="1" customWidth="1"/>
    <col min="1292" max="1292" width="11.140625" style="1" customWidth="1"/>
    <col min="1293" max="1293" width="10.85546875" style="1" customWidth="1"/>
    <col min="1294" max="1294" width="11" style="1" customWidth="1"/>
    <col min="1295" max="1295" width="10.140625" style="1" customWidth="1"/>
    <col min="1296" max="1296" width="9.42578125" style="1" bestFit="1" customWidth="1"/>
    <col min="1297" max="1536" width="9.140625" style="1"/>
    <col min="1537" max="1537" width="4.140625" style="1" customWidth="1"/>
    <col min="1538" max="1538" width="5.5703125" style="1" customWidth="1"/>
    <col min="1539" max="1539" width="34" style="1" customWidth="1"/>
    <col min="1540" max="1540" width="12.28515625" style="1" customWidth="1"/>
    <col min="1541" max="1541" width="12.42578125" style="1" customWidth="1"/>
    <col min="1542" max="1542" width="11.28515625" style="1" customWidth="1"/>
    <col min="1543" max="1543" width="11.5703125" style="1" customWidth="1"/>
    <col min="1544" max="1544" width="11" style="1" customWidth="1"/>
    <col min="1545" max="1545" width="11.140625" style="1" customWidth="1"/>
    <col min="1546" max="1547" width="11" style="1" customWidth="1"/>
    <col min="1548" max="1548" width="11.140625" style="1" customWidth="1"/>
    <col min="1549" max="1549" width="10.85546875" style="1" customWidth="1"/>
    <col min="1550" max="1550" width="11" style="1" customWidth="1"/>
    <col min="1551" max="1551" width="10.140625" style="1" customWidth="1"/>
    <col min="1552" max="1552" width="9.42578125" style="1" bestFit="1" customWidth="1"/>
    <col min="1553" max="1792" width="9.140625" style="1"/>
    <col min="1793" max="1793" width="4.140625" style="1" customWidth="1"/>
    <col min="1794" max="1794" width="5.5703125" style="1" customWidth="1"/>
    <col min="1795" max="1795" width="34" style="1" customWidth="1"/>
    <col min="1796" max="1796" width="12.28515625" style="1" customWidth="1"/>
    <col min="1797" max="1797" width="12.42578125" style="1" customWidth="1"/>
    <col min="1798" max="1798" width="11.28515625" style="1" customWidth="1"/>
    <col min="1799" max="1799" width="11.5703125" style="1" customWidth="1"/>
    <col min="1800" max="1800" width="11" style="1" customWidth="1"/>
    <col min="1801" max="1801" width="11.140625" style="1" customWidth="1"/>
    <col min="1802" max="1803" width="11" style="1" customWidth="1"/>
    <col min="1804" max="1804" width="11.140625" style="1" customWidth="1"/>
    <col min="1805" max="1805" width="10.85546875" style="1" customWidth="1"/>
    <col min="1806" max="1806" width="11" style="1" customWidth="1"/>
    <col min="1807" max="1807" width="10.140625" style="1" customWidth="1"/>
    <col min="1808" max="1808" width="9.42578125" style="1" bestFit="1" customWidth="1"/>
    <col min="1809" max="2048" width="9.140625" style="1"/>
    <col min="2049" max="2049" width="4.140625" style="1" customWidth="1"/>
    <col min="2050" max="2050" width="5.5703125" style="1" customWidth="1"/>
    <col min="2051" max="2051" width="34" style="1" customWidth="1"/>
    <col min="2052" max="2052" width="12.28515625" style="1" customWidth="1"/>
    <col min="2053" max="2053" width="12.42578125" style="1" customWidth="1"/>
    <col min="2054" max="2054" width="11.28515625" style="1" customWidth="1"/>
    <col min="2055" max="2055" width="11.5703125" style="1" customWidth="1"/>
    <col min="2056" max="2056" width="11" style="1" customWidth="1"/>
    <col min="2057" max="2057" width="11.140625" style="1" customWidth="1"/>
    <col min="2058" max="2059" width="11" style="1" customWidth="1"/>
    <col min="2060" max="2060" width="11.140625" style="1" customWidth="1"/>
    <col min="2061" max="2061" width="10.85546875" style="1" customWidth="1"/>
    <col min="2062" max="2062" width="11" style="1" customWidth="1"/>
    <col min="2063" max="2063" width="10.140625" style="1" customWidth="1"/>
    <col min="2064" max="2064" width="9.42578125" style="1" bestFit="1" customWidth="1"/>
    <col min="2065" max="2304" width="9.140625" style="1"/>
    <col min="2305" max="2305" width="4.140625" style="1" customWidth="1"/>
    <col min="2306" max="2306" width="5.5703125" style="1" customWidth="1"/>
    <col min="2307" max="2307" width="34" style="1" customWidth="1"/>
    <col min="2308" max="2308" width="12.28515625" style="1" customWidth="1"/>
    <col min="2309" max="2309" width="12.42578125" style="1" customWidth="1"/>
    <col min="2310" max="2310" width="11.28515625" style="1" customWidth="1"/>
    <col min="2311" max="2311" width="11.5703125" style="1" customWidth="1"/>
    <col min="2312" max="2312" width="11" style="1" customWidth="1"/>
    <col min="2313" max="2313" width="11.140625" style="1" customWidth="1"/>
    <col min="2314" max="2315" width="11" style="1" customWidth="1"/>
    <col min="2316" max="2316" width="11.140625" style="1" customWidth="1"/>
    <col min="2317" max="2317" width="10.85546875" style="1" customWidth="1"/>
    <col min="2318" max="2318" width="11" style="1" customWidth="1"/>
    <col min="2319" max="2319" width="10.140625" style="1" customWidth="1"/>
    <col min="2320" max="2320" width="9.42578125" style="1" bestFit="1" customWidth="1"/>
    <col min="2321" max="2560" width="9.140625" style="1"/>
    <col min="2561" max="2561" width="4.140625" style="1" customWidth="1"/>
    <col min="2562" max="2562" width="5.5703125" style="1" customWidth="1"/>
    <col min="2563" max="2563" width="34" style="1" customWidth="1"/>
    <col min="2564" max="2564" width="12.28515625" style="1" customWidth="1"/>
    <col min="2565" max="2565" width="12.42578125" style="1" customWidth="1"/>
    <col min="2566" max="2566" width="11.28515625" style="1" customWidth="1"/>
    <col min="2567" max="2567" width="11.5703125" style="1" customWidth="1"/>
    <col min="2568" max="2568" width="11" style="1" customWidth="1"/>
    <col min="2569" max="2569" width="11.140625" style="1" customWidth="1"/>
    <col min="2570" max="2571" width="11" style="1" customWidth="1"/>
    <col min="2572" max="2572" width="11.140625" style="1" customWidth="1"/>
    <col min="2573" max="2573" width="10.85546875" style="1" customWidth="1"/>
    <col min="2574" max="2574" width="11" style="1" customWidth="1"/>
    <col min="2575" max="2575" width="10.140625" style="1" customWidth="1"/>
    <col min="2576" max="2576" width="9.42578125" style="1" bestFit="1" customWidth="1"/>
    <col min="2577" max="2816" width="9.140625" style="1"/>
    <col min="2817" max="2817" width="4.140625" style="1" customWidth="1"/>
    <col min="2818" max="2818" width="5.5703125" style="1" customWidth="1"/>
    <col min="2819" max="2819" width="34" style="1" customWidth="1"/>
    <col min="2820" max="2820" width="12.28515625" style="1" customWidth="1"/>
    <col min="2821" max="2821" width="12.42578125" style="1" customWidth="1"/>
    <col min="2822" max="2822" width="11.28515625" style="1" customWidth="1"/>
    <col min="2823" max="2823" width="11.5703125" style="1" customWidth="1"/>
    <col min="2824" max="2824" width="11" style="1" customWidth="1"/>
    <col min="2825" max="2825" width="11.140625" style="1" customWidth="1"/>
    <col min="2826" max="2827" width="11" style="1" customWidth="1"/>
    <col min="2828" max="2828" width="11.140625" style="1" customWidth="1"/>
    <col min="2829" max="2829" width="10.85546875" style="1" customWidth="1"/>
    <col min="2830" max="2830" width="11" style="1" customWidth="1"/>
    <col min="2831" max="2831" width="10.140625" style="1" customWidth="1"/>
    <col min="2832" max="2832" width="9.42578125" style="1" bestFit="1" customWidth="1"/>
    <col min="2833" max="3072" width="9.140625" style="1"/>
    <col min="3073" max="3073" width="4.140625" style="1" customWidth="1"/>
    <col min="3074" max="3074" width="5.5703125" style="1" customWidth="1"/>
    <col min="3075" max="3075" width="34" style="1" customWidth="1"/>
    <col min="3076" max="3076" width="12.28515625" style="1" customWidth="1"/>
    <col min="3077" max="3077" width="12.42578125" style="1" customWidth="1"/>
    <col min="3078" max="3078" width="11.28515625" style="1" customWidth="1"/>
    <col min="3079" max="3079" width="11.5703125" style="1" customWidth="1"/>
    <col min="3080" max="3080" width="11" style="1" customWidth="1"/>
    <col min="3081" max="3081" width="11.140625" style="1" customWidth="1"/>
    <col min="3082" max="3083" width="11" style="1" customWidth="1"/>
    <col min="3084" max="3084" width="11.140625" style="1" customWidth="1"/>
    <col min="3085" max="3085" width="10.85546875" style="1" customWidth="1"/>
    <col min="3086" max="3086" width="11" style="1" customWidth="1"/>
    <col min="3087" max="3087" width="10.140625" style="1" customWidth="1"/>
    <col min="3088" max="3088" width="9.42578125" style="1" bestFit="1" customWidth="1"/>
    <col min="3089" max="3328" width="9.140625" style="1"/>
    <col min="3329" max="3329" width="4.140625" style="1" customWidth="1"/>
    <col min="3330" max="3330" width="5.5703125" style="1" customWidth="1"/>
    <col min="3331" max="3331" width="34" style="1" customWidth="1"/>
    <col min="3332" max="3332" width="12.28515625" style="1" customWidth="1"/>
    <col min="3333" max="3333" width="12.42578125" style="1" customWidth="1"/>
    <col min="3334" max="3334" width="11.28515625" style="1" customWidth="1"/>
    <col min="3335" max="3335" width="11.5703125" style="1" customWidth="1"/>
    <col min="3336" max="3336" width="11" style="1" customWidth="1"/>
    <col min="3337" max="3337" width="11.140625" style="1" customWidth="1"/>
    <col min="3338" max="3339" width="11" style="1" customWidth="1"/>
    <col min="3340" max="3340" width="11.140625" style="1" customWidth="1"/>
    <col min="3341" max="3341" width="10.85546875" style="1" customWidth="1"/>
    <col min="3342" max="3342" width="11" style="1" customWidth="1"/>
    <col min="3343" max="3343" width="10.140625" style="1" customWidth="1"/>
    <col min="3344" max="3344" width="9.42578125" style="1" bestFit="1" customWidth="1"/>
    <col min="3345" max="3584" width="9.140625" style="1"/>
    <col min="3585" max="3585" width="4.140625" style="1" customWidth="1"/>
    <col min="3586" max="3586" width="5.5703125" style="1" customWidth="1"/>
    <col min="3587" max="3587" width="34" style="1" customWidth="1"/>
    <col min="3588" max="3588" width="12.28515625" style="1" customWidth="1"/>
    <col min="3589" max="3589" width="12.42578125" style="1" customWidth="1"/>
    <col min="3590" max="3590" width="11.28515625" style="1" customWidth="1"/>
    <col min="3591" max="3591" width="11.5703125" style="1" customWidth="1"/>
    <col min="3592" max="3592" width="11" style="1" customWidth="1"/>
    <col min="3593" max="3593" width="11.140625" style="1" customWidth="1"/>
    <col min="3594" max="3595" width="11" style="1" customWidth="1"/>
    <col min="3596" max="3596" width="11.140625" style="1" customWidth="1"/>
    <col min="3597" max="3597" width="10.85546875" style="1" customWidth="1"/>
    <col min="3598" max="3598" width="11" style="1" customWidth="1"/>
    <col min="3599" max="3599" width="10.140625" style="1" customWidth="1"/>
    <col min="3600" max="3600" width="9.42578125" style="1" bestFit="1" customWidth="1"/>
    <col min="3601" max="3840" width="9.140625" style="1"/>
    <col min="3841" max="3841" width="4.140625" style="1" customWidth="1"/>
    <col min="3842" max="3842" width="5.5703125" style="1" customWidth="1"/>
    <col min="3843" max="3843" width="34" style="1" customWidth="1"/>
    <col min="3844" max="3844" width="12.28515625" style="1" customWidth="1"/>
    <col min="3845" max="3845" width="12.42578125" style="1" customWidth="1"/>
    <col min="3846" max="3846" width="11.28515625" style="1" customWidth="1"/>
    <col min="3847" max="3847" width="11.5703125" style="1" customWidth="1"/>
    <col min="3848" max="3848" width="11" style="1" customWidth="1"/>
    <col min="3849" max="3849" width="11.140625" style="1" customWidth="1"/>
    <col min="3850" max="3851" width="11" style="1" customWidth="1"/>
    <col min="3852" max="3852" width="11.140625" style="1" customWidth="1"/>
    <col min="3853" max="3853" width="10.85546875" style="1" customWidth="1"/>
    <col min="3854" max="3854" width="11" style="1" customWidth="1"/>
    <col min="3855" max="3855" width="10.140625" style="1" customWidth="1"/>
    <col min="3856" max="3856" width="9.42578125" style="1" bestFit="1" customWidth="1"/>
    <col min="3857" max="4096" width="9.140625" style="1"/>
    <col min="4097" max="4097" width="4.140625" style="1" customWidth="1"/>
    <col min="4098" max="4098" width="5.5703125" style="1" customWidth="1"/>
    <col min="4099" max="4099" width="34" style="1" customWidth="1"/>
    <col min="4100" max="4100" width="12.28515625" style="1" customWidth="1"/>
    <col min="4101" max="4101" width="12.42578125" style="1" customWidth="1"/>
    <col min="4102" max="4102" width="11.28515625" style="1" customWidth="1"/>
    <col min="4103" max="4103" width="11.5703125" style="1" customWidth="1"/>
    <col min="4104" max="4104" width="11" style="1" customWidth="1"/>
    <col min="4105" max="4105" width="11.140625" style="1" customWidth="1"/>
    <col min="4106" max="4107" width="11" style="1" customWidth="1"/>
    <col min="4108" max="4108" width="11.140625" style="1" customWidth="1"/>
    <col min="4109" max="4109" width="10.85546875" style="1" customWidth="1"/>
    <col min="4110" max="4110" width="11" style="1" customWidth="1"/>
    <col min="4111" max="4111" width="10.140625" style="1" customWidth="1"/>
    <col min="4112" max="4112" width="9.42578125" style="1" bestFit="1" customWidth="1"/>
    <col min="4113" max="4352" width="9.140625" style="1"/>
    <col min="4353" max="4353" width="4.140625" style="1" customWidth="1"/>
    <col min="4354" max="4354" width="5.5703125" style="1" customWidth="1"/>
    <col min="4355" max="4355" width="34" style="1" customWidth="1"/>
    <col min="4356" max="4356" width="12.28515625" style="1" customWidth="1"/>
    <col min="4357" max="4357" width="12.42578125" style="1" customWidth="1"/>
    <col min="4358" max="4358" width="11.28515625" style="1" customWidth="1"/>
    <col min="4359" max="4359" width="11.5703125" style="1" customWidth="1"/>
    <col min="4360" max="4360" width="11" style="1" customWidth="1"/>
    <col min="4361" max="4361" width="11.140625" style="1" customWidth="1"/>
    <col min="4362" max="4363" width="11" style="1" customWidth="1"/>
    <col min="4364" max="4364" width="11.140625" style="1" customWidth="1"/>
    <col min="4365" max="4365" width="10.85546875" style="1" customWidth="1"/>
    <col min="4366" max="4366" width="11" style="1" customWidth="1"/>
    <col min="4367" max="4367" width="10.140625" style="1" customWidth="1"/>
    <col min="4368" max="4368" width="9.42578125" style="1" bestFit="1" customWidth="1"/>
    <col min="4369" max="4608" width="9.140625" style="1"/>
    <col min="4609" max="4609" width="4.140625" style="1" customWidth="1"/>
    <col min="4610" max="4610" width="5.5703125" style="1" customWidth="1"/>
    <col min="4611" max="4611" width="34" style="1" customWidth="1"/>
    <col min="4612" max="4612" width="12.28515625" style="1" customWidth="1"/>
    <col min="4613" max="4613" width="12.42578125" style="1" customWidth="1"/>
    <col min="4614" max="4614" width="11.28515625" style="1" customWidth="1"/>
    <col min="4615" max="4615" width="11.5703125" style="1" customWidth="1"/>
    <col min="4616" max="4616" width="11" style="1" customWidth="1"/>
    <col min="4617" max="4617" width="11.140625" style="1" customWidth="1"/>
    <col min="4618" max="4619" width="11" style="1" customWidth="1"/>
    <col min="4620" max="4620" width="11.140625" style="1" customWidth="1"/>
    <col min="4621" max="4621" width="10.85546875" style="1" customWidth="1"/>
    <col min="4622" max="4622" width="11" style="1" customWidth="1"/>
    <col min="4623" max="4623" width="10.140625" style="1" customWidth="1"/>
    <col min="4624" max="4624" width="9.42578125" style="1" bestFit="1" customWidth="1"/>
    <col min="4625" max="4864" width="9.140625" style="1"/>
    <col min="4865" max="4865" width="4.140625" style="1" customWidth="1"/>
    <col min="4866" max="4866" width="5.5703125" style="1" customWidth="1"/>
    <col min="4867" max="4867" width="34" style="1" customWidth="1"/>
    <col min="4868" max="4868" width="12.28515625" style="1" customWidth="1"/>
    <col min="4869" max="4869" width="12.42578125" style="1" customWidth="1"/>
    <col min="4870" max="4870" width="11.28515625" style="1" customWidth="1"/>
    <col min="4871" max="4871" width="11.5703125" style="1" customWidth="1"/>
    <col min="4872" max="4872" width="11" style="1" customWidth="1"/>
    <col min="4873" max="4873" width="11.140625" style="1" customWidth="1"/>
    <col min="4874" max="4875" width="11" style="1" customWidth="1"/>
    <col min="4876" max="4876" width="11.140625" style="1" customWidth="1"/>
    <col min="4877" max="4877" width="10.85546875" style="1" customWidth="1"/>
    <col min="4878" max="4878" width="11" style="1" customWidth="1"/>
    <col min="4879" max="4879" width="10.140625" style="1" customWidth="1"/>
    <col min="4880" max="4880" width="9.42578125" style="1" bestFit="1" customWidth="1"/>
    <col min="4881" max="5120" width="9.140625" style="1"/>
    <col min="5121" max="5121" width="4.140625" style="1" customWidth="1"/>
    <col min="5122" max="5122" width="5.5703125" style="1" customWidth="1"/>
    <col min="5123" max="5123" width="34" style="1" customWidth="1"/>
    <col min="5124" max="5124" width="12.28515625" style="1" customWidth="1"/>
    <col min="5125" max="5125" width="12.42578125" style="1" customWidth="1"/>
    <col min="5126" max="5126" width="11.28515625" style="1" customWidth="1"/>
    <col min="5127" max="5127" width="11.5703125" style="1" customWidth="1"/>
    <col min="5128" max="5128" width="11" style="1" customWidth="1"/>
    <col min="5129" max="5129" width="11.140625" style="1" customWidth="1"/>
    <col min="5130" max="5131" width="11" style="1" customWidth="1"/>
    <col min="5132" max="5132" width="11.140625" style="1" customWidth="1"/>
    <col min="5133" max="5133" width="10.85546875" style="1" customWidth="1"/>
    <col min="5134" max="5134" width="11" style="1" customWidth="1"/>
    <col min="5135" max="5135" width="10.140625" style="1" customWidth="1"/>
    <col min="5136" max="5136" width="9.42578125" style="1" bestFit="1" customWidth="1"/>
    <col min="5137" max="5376" width="9.140625" style="1"/>
    <col min="5377" max="5377" width="4.140625" style="1" customWidth="1"/>
    <col min="5378" max="5378" width="5.5703125" style="1" customWidth="1"/>
    <col min="5379" max="5379" width="34" style="1" customWidth="1"/>
    <col min="5380" max="5380" width="12.28515625" style="1" customWidth="1"/>
    <col min="5381" max="5381" width="12.42578125" style="1" customWidth="1"/>
    <col min="5382" max="5382" width="11.28515625" style="1" customWidth="1"/>
    <col min="5383" max="5383" width="11.5703125" style="1" customWidth="1"/>
    <col min="5384" max="5384" width="11" style="1" customWidth="1"/>
    <col min="5385" max="5385" width="11.140625" style="1" customWidth="1"/>
    <col min="5386" max="5387" width="11" style="1" customWidth="1"/>
    <col min="5388" max="5388" width="11.140625" style="1" customWidth="1"/>
    <col min="5389" max="5389" width="10.85546875" style="1" customWidth="1"/>
    <col min="5390" max="5390" width="11" style="1" customWidth="1"/>
    <col min="5391" max="5391" width="10.140625" style="1" customWidth="1"/>
    <col min="5392" max="5392" width="9.42578125" style="1" bestFit="1" customWidth="1"/>
    <col min="5393" max="5632" width="9.140625" style="1"/>
    <col min="5633" max="5633" width="4.140625" style="1" customWidth="1"/>
    <col min="5634" max="5634" width="5.5703125" style="1" customWidth="1"/>
    <col min="5635" max="5635" width="34" style="1" customWidth="1"/>
    <col min="5636" max="5636" width="12.28515625" style="1" customWidth="1"/>
    <col min="5637" max="5637" width="12.42578125" style="1" customWidth="1"/>
    <col min="5638" max="5638" width="11.28515625" style="1" customWidth="1"/>
    <col min="5639" max="5639" width="11.5703125" style="1" customWidth="1"/>
    <col min="5640" max="5640" width="11" style="1" customWidth="1"/>
    <col min="5641" max="5641" width="11.140625" style="1" customWidth="1"/>
    <col min="5642" max="5643" width="11" style="1" customWidth="1"/>
    <col min="5644" max="5644" width="11.140625" style="1" customWidth="1"/>
    <col min="5645" max="5645" width="10.85546875" style="1" customWidth="1"/>
    <col min="5646" max="5646" width="11" style="1" customWidth="1"/>
    <col min="5647" max="5647" width="10.140625" style="1" customWidth="1"/>
    <col min="5648" max="5648" width="9.42578125" style="1" bestFit="1" customWidth="1"/>
    <col min="5649" max="5888" width="9.140625" style="1"/>
    <col min="5889" max="5889" width="4.140625" style="1" customWidth="1"/>
    <col min="5890" max="5890" width="5.5703125" style="1" customWidth="1"/>
    <col min="5891" max="5891" width="34" style="1" customWidth="1"/>
    <col min="5892" max="5892" width="12.28515625" style="1" customWidth="1"/>
    <col min="5893" max="5893" width="12.42578125" style="1" customWidth="1"/>
    <col min="5894" max="5894" width="11.28515625" style="1" customWidth="1"/>
    <col min="5895" max="5895" width="11.5703125" style="1" customWidth="1"/>
    <col min="5896" max="5896" width="11" style="1" customWidth="1"/>
    <col min="5897" max="5897" width="11.140625" style="1" customWidth="1"/>
    <col min="5898" max="5899" width="11" style="1" customWidth="1"/>
    <col min="5900" max="5900" width="11.140625" style="1" customWidth="1"/>
    <col min="5901" max="5901" width="10.85546875" style="1" customWidth="1"/>
    <col min="5902" max="5902" width="11" style="1" customWidth="1"/>
    <col min="5903" max="5903" width="10.140625" style="1" customWidth="1"/>
    <col min="5904" max="5904" width="9.42578125" style="1" bestFit="1" customWidth="1"/>
    <col min="5905" max="6144" width="9.140625" style="1"/>
    <col min="6145" max="6145" width="4.140625" style="1" customWidth="1"/>
    <col min="6146" max="6146" width="5.5703125" style="1" customWidth="1"/>
    <col min="6147" max="6147" width="34" style="1" customWidth="1"/>
    <col min="6148" max="6148" width="12.28515625" style="1" customWidth="1"/>
    <col min="6149" max="6149" width="12.42578125" style="1" customWidth="1"/>
    <col min="6150" max="6150" width="11.28515625" style="1" customWidth="1"/>
    <col min="6151" max="6151" width="11.5703125" style="1" customWidth="1"/>
    <col min="6152" max="6152" width="11" style="1" customWidth="1"/>
    <col min="6153" max="6153" width="11.140625" style="1" customWidth="1"/>
    <col min="6154" max="6155" width="11" style="1" customWidth="1"/>
    <col min="6156" max="6156" width="11.140625" style="1" customWidth="1"/>
    <col min="6157" max="6157" width="10.85546875" style="1" customWidth="1"/>
    <col min="6158" max="6158" width="11" style="1" customWidth="1"/>
    <col min="6159" max="6159" width="10.140625" style="1" customWidth="1"/>
    <col min="6160" max="6160" width="9.42578125" style="1" bestFit="1" customWidth="1"/>
    <col min="6161" max="6400" width="9.140625" style="1"/>
    <col min="6401" max="6401" width="4.140625" style="1" customWidth="1"/>
    <col min="6402" max="6402" width="5.5703125" style="1" customWidth="1"/>
    <col min="6403" max="6403" width="34" style="1" customWidth="1"/>
    <col min="6404" max="6404" width="12.28515625" style="1" customWidth="1"/>
    <col min="6405" max="6405" width="12.42578125" style="1" customWidth="1"/>
    <col min="6406" max="6406" width="11.28515625" style="1" customWidth="1"/>
    <col min="6407" max="6407" width="11.5703125" style="1" customWidth="1"/>
    <col min="6408" max="6408" width="11" style="1" customWidth="1"/>
    <col min="6409" max="6409" width="11.140625" style="1" customWidth="1"/>
    <col min="6410" max="6411" width="11" style="1" customWidth="1"/>
    <col min="6412" max="6412" width="11.140625" style="1" customWidth="1"/>
    <col min="6413" max="6413" width="10.85546875" style="1" customWidth="1"/>
    <col min="6414" max="6414" width="11" style="1" customWidth="1"/>
    <col min="6415" max="6415" width="10.140625" style="1" customWidth="1"/>
    <col min="6416" max="6416" width="9.42578125" style="1" bestFit="1" customWidth="1"/>
    <col min="6417" max="6656" width="9.140625" style="1"/>
    <col min="6657" max="6657" width="4.140625" style="1" customWidth="1"/>
    <col min="6658" max="6658" width="5.5703125" style="1" customWidth="1"/>
    <col min="6659" max="6659" width="34" style="1" customWidth="1"/>
    <col min="6660" max="6660" width="12.28515625" style="1" customWidth="1"/>
    <col min="6661" max="6661" width="12.42578125" style="1" customWidth="1"/>
    <col min="6662" max="6662" width="11.28515625" style="1" customWidth="1"/>
    <col min="6663" max="6663" width="11.5703125" style="1" customWidth="1"/>
    <col min="6664" max="6664" width="11" style="1" customWidth="1"/>
    <col min="6665" max="6665" width="11.140625" style="1" customWidth="1"/>
    <col min="6666" max="6667" width="11" style="1" customWidth="1"/>
    <col min="6668" max="6668" width="11.140625" style="1" customWidth="1"/>
    <col min="6669" max="6669" width="10.85546875" style="1" customWidth="1"/>
    <col min="6670" max="6670" width="11" style="1" customWidth="1"/>
    <col min="6671" max="6671" width="10.140625" style="1" customWidth="1"/>
    <col min="6672" max="6672" width="9.42578125" style="1" bestFit="1" customWidth="1"/>
    <col min="6673" max="6912" width="9.140625" style="1"/>
    <col min="6913" max="6913" width="4.140625" style="1" customWidth="1"/>
    <col min="6914" max="6914" width="5.5703125" style="1" customWidth="1"/>
    <col min="6915" max="6915" width="34" style="1" customWidth="1"/>
    <col min="6916" max="6916" width="12.28515625" style="1" customWidth="1"/>
    <col min="6917" max="6917" width="12.42578125" style="1" customWidth="1"/>
    <col min="6918" max="6918" width="11.28515625" style="1" customWidth="1"/>
    <col min="6919" max="6919" width="11.5703125" style="1" customWidth="1"/>
    <col min="6920" max="6920" width="11" style="1" customWidth="1"/>
    <col min="6921" max="6921" width="11.140625" style="1" customWidth="1"/>
    <col min="6922" max="6923" width="11" style="1" customWidth="1"/>
    <col min="6924" max="6924" width="11.140625" style="1" customWidth="1"/>
    <col min="6925" max="6925" width="10.85546875" style="1" customWidth="1"/>
    <col min="6926" max="6926" width="11" style="1" customWidth="1"/>
    <col min="6927" max="6927" width="10.140625" style="1" customWidth="1"/>
    <col min="6928" max="6928" width="9.42578125" style="1" bestFit="1" customWidth="1"/>
    <col min="6929" max="7168" width="9.140625" style="1"/>
    <col min="7169" max="7169" width="4.140625" style="1" customWidth="1"/>
    <col min="7170" max="7170" width="5.5703125" style="1" customWidth="1"/>
    <col min="7171" max="7171" width="34" style="1" customWidth="1"/>
    <col min="7172" max="7172" width="12.28515625" style="1" customWidth="1"/>
    <col min="7173" max="7173" width="12.42578125" style="1" customWidth="1"/>
    <col min="7174" max="7174" width="11.28515625" style="1" customWidth="1"/>
    <col min="7175" max="7175" width="11.5703125" style="1" customWidth="1"/>
    <col min="7176" max="7176" width="11" style="1" customWidth="1"/>
    <col min="7177" max="7177" width="11.140625" style="1" customWidth="1"/>
    <col min="7178" max="7179" width="11" style="1" customWidth="1"/>
    <col min="7180" max="7180" width="11.140625" style="1" customWidth="1"/>
    <col min="7181" max="7181" width="10.85546875" style="1" customWidth="1"/>
    <col min="7182" max="7182" width="11" style="1" customWidth="1"/>
    <col min="7183" max="7183" width="10.140625" style="1" customWidth="1"/>
    <col min="7184" max="7184" width="9.42578125" style="1" bestFit="1" customWidth="1"/>
    <col min="7185" max="7424" width="9.140625" style="1"/>
    <col min="7425" max="7425" width="4.140625" style="1" customWidth="1"/>
    <col min="7426" max="7426" width="5.5703125" style="1" customWidth="1"/>
    <col min="7427" max="7427" width="34" style="1" customWidth="1"/>
    <col min="7428" max="7428" width="12.28515625" style="1" customWidth="1"/>
    <col min="7429" max="7429" width="12.42578125" style="1" customWidth="1"/>
    <col min="7430" max="7430" width="11.28515625" style="1" customWidth="1"/>
    <col min="7431" max="7431" width="11.5703125" style="1" customWidth="1"/>
    <col min="7432" max="7432" width="11" style="1" customWidth="1"/>
    <col min="7433" max="7433" width="11.140625" style="1" customWidth="1"/>
    <col min="7434" max="7435" width="11" style="1" customWidth="1"/>
    <col min="7436" max="7436" width="11.140625" style="1" customWidth="1"/>
    <col min="7437" max="7437" width="10.85546875" style="1" customWidth="1"/>
    <col min="7438" max="7438" width="11" style="1" customWidth="1"/>
    <col min="7439" max="7439" width="10.140625" style="1" customWidth="1"/>
    <col min="7440" max="7440" width="9.42578125" style="1" bestFit="1" customWidth="1"/>
    <col min="7441" max="7680" width="9.140625" style="1"/>
    <col min="7681" max="7681" width="4.140625" style="1" customWidth="1"/>
    <col min="7682" max="7682" width="5.5703125" style="1" customWidth="1"/>
    <col min="7683" max="7683" width="34" style="1" customWidth="1"/>
    <col min="7684" max="7684" width="12.28515625" style="1" customWidth="1"/>
    <col min="7685" max="7685" width="12.42578125" style="1" customWidth="1"/>
    <col min="7686" max="7686" width="11.28515625" style="1" customWidth="1"/>
    <col min="7687" max="7687" width="11.5703125" style="1" customWidth="1"/>
    <col min="7688" max="7688" width="11" style="1" customWidth="1"/>
    <col min="7689" max="7689" width="11.140625" style="1" customWidth="1"/>
    <col min="7690" max="7691" width="11" style="1" customWidth="1"/>
    <col min="7692" max="7692" width="11.140625" style="1" customWidth="1"/>
    <col min="7693" max="7693" width="10.85546875" style="1" customWidth="1"/>
    <col min="7694" max="7694" width="11" style="1" customWidth="1"/>
    <col min="7695" max="7695" width="10.140625" style="1" customWidth="1"/>
    <col min="7696" max="7696" width="9.42578125" style="1" bestFit="1" customWidth="1"/>
    <col min="7697" max="7936" width="9.140625" style="1"/>
    <col min="7937" max="7937" width="4.140625" style="1" customWidth="1"/>
    <col min="7938" max="7938" width="5.5703125" style="1" customWidth="1"/>
    <col min="7939" max="7939" width="34" style="1" customWidth="1"/>
    <col min="7940" max="7940" width="12.28515625" style="1" customWidth="1"/>
    <col min="7941" max="7941" width="12.42578125" style="1" customWidth="1"/>
    <col min="7942" max="7942" width="11.28515625" style="1" customWidth="1"/>
    <col min="7943" max="7943" width="11.5703125" style="1" customWidth="1"/>
    <col min="7944" max="7944" width="11" style="1" customWidth="1"/>
    <col min="7945" max="7945" width="11.140625" style="1" customWidth="1"/>
    <col min="7946" max="7947" width="11" style="1" customWidth="1"/>
    <col min="7948" max="7948" width="11.140625" style="1" customWidth="1"/>
    <col min="7949" max="7949" width="10.85546875" style="1" customWidth="1"/>
    <col min="7950" max="7950" width="11" style="1" customWidth="1"/>
    <col min="7951" max="7951" width="10.140625" style="1" customWidth="1"/>
    <col min="7952" max="7952" width="9.42578125" style="1" bestFit="1" customWidth="1"/>
    <col min="7953" max="8192" width="9.140625" style="1"/>
    <col min="8193" max="8193" width="4.140625" style="1" customWidth="1"/>
    <col min="8194" max="8194" width="5.5703125" style="1" customWidth="1"/>
    <col min="8195" max="8195" width="34" style="1" customWidth="1"/>
    <col min="8196" max="8196" width="12.28515625" style="1" customWidth="1"/>
    <col min="8197" max="8197" width="12.42578125" style="1" customWidth="1"/>
    <col min="8198" max="8198" width="11.28515625" style="1" customWidth="1"/>
    <col min="8199" max="8199" width="11.5703125" style="1" customWidth="1"/>
    <col min="8200" max="8200" width="11" style="1" customWidth="1"/>
    <col min="8201" max="8201" width="11.140625" style="1" customWidth="1"/>
    <col min="8202" max="8203" width="11" style="1" customWidth="1"/>
    <col min="8204" max="8204" width="11.140625" style="1" customWidth="1"/>
    <col min="8205" max="8205" width="10.85546875" style="1" customWidth="1"/>
    <col min="8206" max="8206" width="11" style="1" customWidth="1"/>
    <col min="8207" max="8207" width="10.140625" style="1" customWidth="1"/>
    <col min="8208" max="8208" width="9.42578125" style="1" bestFit="1" customWidth="1"/>
    <col min="8209" max="8448" width="9.140625" style="1"/>
    <col min="8449" max="8449" width="4.140625" style="1" customWidth="1"/>
    <col min="8450" max="8450" width="5.5703125" style="1" customWidth="1"/>
    <col min="8451" max="8451" width="34" style="1" customWidth="1"/>
    <col min="8452" max="8452" width="12.28515625" style="1" customWidth="1"/>
    <col min="8453" max="8453" width="12.42578125" style="1" customWidth="1"/>
    <col min="8454" max="8454" width="11.28515625" style="1" customWidth="1"/>
    <col min="8455" max="8455" width="11.5703125" style="1" customWidth="1"/>
    <col min="8456" max="8456" width="11" style="1" customWidth="1"/>
    <col min="8457" max="8457" width="11.140625" style="1" customWidth="1"/>
    <col min="8458" max="8459" width="11" style="1" customWidth="1"/>
    <col min="8460" max="8460" width="11.140625" style="1" customWidth="1"/>
    <col min="8461" max="8461" width="10.85546875" style="1" customWidth="1"/>
    <col min="8462" max="8462" width="11" style="1" customWidth="1"/>
    <col min="8463" max="8463" width="10.140625" style="1" customWidth="1"/>
    <col min="8464" max="8464" width="9.42578125" style="1" bestFit="1" customWidth="1"/>
    <col min="8465" max="8704" width="9.140625" style="1"/>
    <col min="8705" max="8705" width="4.140625" style="1" customWidth="1"/>
    <col min="8706" max="8706" width="5.5703125" style="1" customWidth="1"/>
    <col min="8707" max="8707" width="34" style="1" customWidth="1"/>
    <col min="8708" max="8708" width="12.28515625" style="1" customWidth="1"/>
    <col min="8709" max="8709" width="12.42578125" style="1" customWidth="1"/>
    <col min="8710" max="8710" width="11.28515625" style="1" customWidth="1"/>
    <col min="8711" max="8711" width="11.5703125" style="1" customWidth="1"/>
    <col min="8712" max="8712" width="11" style="1" customWidth="1"/>
    <col min="8713" max="8713" width="11.140625" style="1" customWidth="1"/>
    <col min="8714" max="8715" width="11" style="1" customWidth="1"/>
    <col min="8716" max="8716" width="11.140625" style="1" customWidth="1"/>
    <col min="8717" max="8717" width="10.85546875" style="1" customWidth="1"/>
    <col min="8718" max="8718" width="11" style="1" customWidth="1"/>
    <col min="8719" max="8719" width="10.140625" style="1" customWidth="1"/>
    <col min="8720" max="8720" width="9.42578125" style="1" bestFit="1" customWidth="1"/>
    <col min="8721" max="8960" width="9.140625" style="1"/>
    <col min="8961" max="8961" width="4.140625" style="1" customWidth="1"/>
    <col min="8962" max="8962" width="5.5703125" style="1" customWidth="1"/>
    <col min="8963" max="8963" width="34" style="1" customWidth="1"/>
    <col min="8964" max="8964" width="12.28515625" style="1" customWidth="1"/>
    <col min="8965" max="8965" width="12.42578125" style="1" customWidth="1"/>
    <col min="8966" max="8966" width="11.28515625" style="1" customWidth="1"/>
    <col min="8967" max="8967" width="11.5703125" style="1" customWidth="1"/>
    <col min="8968" max="8968" width="11" style="1" customWidth="1"/>
    <col min="8969" max="8969" width="11.140625" style="1" customWidth="1"/>
    <col min="8970" max="8971" width="11" style="1" customWidth="1"/>
    <col min="8972" max="8972" width="11.140625" style="1" customWidth="1"/>
    <col min="8973" max="8973" width="10.85546875" style="1" customWidth="1"/>
    <col min="8974" max="8974" width="11" style="1" customWidth="1"/>
    <col min="8975" max="8975" width="10.140625" style="1" customWidth="1"/>
    <col min="8976" max="8976" width="9.42578125" style="1" bestFit="1" customWidth="1"/>
    <col min="8977" max="9216" width="9.140625" style="1"/>
    <col min="9217" max="9217" width="4.140625" style="1" customWidth="1"/>
    <col min="9218" max="9218" width="5.5703125" style="1" customWidth="1"/>
    <col min="9219" max="9219" width="34" style="1" customWidth="1"/>
    <col min="9220" max="9220" width="12.28515625" style="1" customWidth="1"/>
    <col min="9221" max="9221" width="12.42578125" style="1" customWidth="1"/>
    <col min="9222" max="9222" width="11.28515625" style="1" customWidth="1"/>
    <col min="9223" max="9223" width="11.5703125" style="1" customWidth="1"/>
    <col min="9224" max="9224" width="11" style="1" customWidth="1"/>
    <col min="9225" max="9225" width="11.140625" style="1" customWidth="1"/>
    <col min="9226" max="9227" width="11" style="1" customWidth="1"/>
    <col min="9228" max="9228" width="11.140625" style="1" customWidth="1"/>
    <col min="9229" max="9229" width="10.85546875" style="1" customWidth="1"/>
    <col min="9230" max="9230" width="11" style="1" customWidth="1"/>
    <col min="9231" max="9231" width="10.140625" style="1" customWidth="1"/>
    <col min="9232" max="9232" width="9.42578125" style="1" bestFit="1" customWidth="1"/>
    <col min="9233" max="9472" width="9.140625" style="1"/>
    <col min="9473" max="9473" width="4.140625" style="1" customWidth="1"/>
    <col min="9474" max="9474" width="5.5703125" style="1" customWidth="1"/>
    <col min="9475" max="9475" width="34" style="1" customWidth="1"/>
    <col min="9476" max="9476" width="12.28515625" style="1" customWidth="1"/>
    <col min="9477" max="9477" width="12.42578125" style="1" customWidth="1"/>
    <col min="9478" max="9478" width="11.28515625" style="1" customWidth="1"/>
    <col min="9479" max="9479" width="11.5703125" style="1" customWidth="1"/>
    <col min="9480" max="9480" width="11" style="1" customWidth="1"/>
    <col min="9481" max="9481" width="11.140625" style="1" customWidth="1"/>
    <col min="9482" max="9483" width="11" style="1" customWidth="1"/>
    <col min="9484" max="9484" width="11.140625" style="1" customWidth="1"/>
    <col min="9485" max="9485" width="10.85546875" style="1" customWidth="1"/>
    <col min="9486" max="9486" width="11" style="1" customWidth="1"/>
    <col min="9487" max="9487" width="10.140625" style="1" customWidth="1"/>
    <col min="9488" max="9488" width="9.42578125" style="1" bestFit="1" customWidth="1"/>
    <col min="9489" max="9728" width="9.140625" style="1"/>
    <col min="9729" max="9729" width="4.140625" style="1" customWidth="1"/>
    <col min="9730" max="9730" width="5.5703125" style="1" customWidth="1"/>
    <col min="9731" max="9731" width="34" style="1" customWidth="1"/>
    <col min="9732" max="9732" width="12.28515625" style="1" customWidth="1"/>
    <col min="9733" max="9733" width="12.42578125" style="1" customWidth="1"/>
    <col min="9734" max="9734" width="11.28515625" style="1" customWidth="1"/>
    <col min="9735" max="9735" width="11.5703125" style="1" customWidth="1"/>
    <col min="9736" max="9736" width="11" style="1" customWidth="1"/>
    <col min="9737" max="9737" width="11.140625" style="1" customWidth="1"/>
    <col min="9738" max="9739" width="11" style="1" customWidth="1"/>
    <col min="9740" max="9740" width="11.140625" style="1" customWidth="1"/>
    <col min="9741" max="9741" width="10.85546875" style="1" customWidth="1"/>
    <col min="9742" max="9742" width="11" style="1" customWidth="1"/>
    <col min="9743" max="9743" width="10.140625" style="1" customWidth="1"/>
    <col min="9744" max="9744" width="9.42578125" style="1" bestFit="1" customWidth="1"/>
    <col min="9745" max="9984" width="9.140625" style="1"/>
    <col min="9985" max="9985" width="4.140625" style="1" customWidth="1"/>
    <col min="9986" max="9986" width="5.5703125" style="1" customWidth="1"/>
    <col min="9987" max="9987" width="34" style="1" customWidth="1"/>
    <col min="9988" max="9988" width="12.28515625" style="1" customWidth="1"/>
    <col min="9989" max="9989" width="12.42578125" style="1" customWidth="1"/>
    <col min="9990" max="9990" width="11.28515625" style="1" customWidth="1"/>
    <col min="9991" max="9991" width="11.5703125" style="1" customWidth="1"/>
    <col min="9992" max="9992" width="11" style="1" customWidth="1"/>
    <col min="9993" max="9993" width="11.140625" style="1" customWidth="1"/>
    <col min="9994" max="9995" width="11" style="1" customWidth="1"/>
    <col min="9996" max="9996" width="11.140625" style="1" customWidth="1"/>
    <col min="9997" max="9997" width="10.85546875" style="1" customWidth="1"/>
    <col min="9998" max="9998" width="11" style="1" customWidth="1"/>
    <col min="9999" max="9999" width="10.140625" style="1" customWidth="1"/>
    <col min="10000" max="10000" width="9.42578125" style="1" bestFit="1" customWidth="1"/>
    <col min="10001" max="10240" width="9.140625" style="1"/>
    <col min="10241" max="10241" width="4.140625" style="1" customWidth="1"/>
    <col min="10242" max="10242" width="5.5703125" style="1" customWidth="1"/>
    <col min="10243" max="10243" width="34" style="1" customWidth="1"/>
    <col min="10244" max="10244" width="12.28515625" style="1" customWidth="1"/>
    <col min="10245" max="10245" width="12.42578125" style="1" customWidth="1"/>
    <col min="10246" max="10246" width="11.28515625" style="1" customWidth="1"/>
    <col min="10247" max="10247" width="11.5703125" style="1" customWidth="1"/>
    <col min="10248" max="10248" width="11" style="1" customWidth="1"/>
    <col min="10249" max="10249" width="11.140625" style="1" customWidth="1"/>
    <col min="10250" max="10251" width="11" style="1" customWidth="1"/>
    <col min="10252" max="10252" width="11.140625" style="1" customWidth="1"/>
    <col min="10253" max="10253" width="10.85546875" style="1" customWidth="1"/>
    <col min="10254" max="10254" width="11" style="1" customWidth="1"/>
    <col min="10255" max="10255" width="10.140625" style="1" customWidth="1"/>
    <col min="10256" max="10256" width="9.42578125" style="1" bestFit="1" customWidth="1"/>
    <col min="10257" max="10496" width="9.140625" style="1"/>
    <col min="10497" max="10497" width="4.140625" style="1" customWidth="1"/>
    <col min="10498" max="10498" width="5.5703125" style="1" customWidth="1"/>
    <col min="10499" max="10499" width="34" style="1" customWidth="1"/>
    <col min="10500" max="10500" width="12.28515625" style="1" customWidth="1"/>
    <col min="10501" max="10501" width="12.42578125" style="1" customWidth="1"/>
    <col min="10502" max="10502" width="11.28515625" style="1" customWidth="1"/>
    <col min="10503" max="10503" width="11.5703125" style="1" customWidth="1"/>
    <col min="10504" max="10504" width="11" style="1" customWidth="1"/>
    <col min="10505" max="10505" width="11.140625" style="1" customWidth="1"/>
    <col min="10506" max="10507" width="11" style="1" customWidth="1"/>
    <col min="10508" max="10508" width="11.140625" style="1" customWidth="1"/>
    <col min="10509" max="10509" width="10.85546875" style="1" customWidth="1"/>
    <col min="10510" max="10510" width="11" style="1" customWidth="1"/>
    <col min="10511" max="10511" width="10.140625" style="1" customWidth="1"/>
    <col min="10512" max="10512" width="9.42578125" style="1" bestFit="1" customWidth="1"/>
    <col min="10513" max="10752" width="9.140625" style="1"/>
    <col min="10753" max="10753" width="4.140625" style="1" customWidth="1"/>
    <col min="10754" max="10754" width="5.5703125" style="1" customWidth="1"/>
    <col min="10755" max="10755" width="34" style="1" customWidth="1"/>
    <col min="10756" max="10756" width="12.28515625" style="1" customWidth="1"/>
    <col min="10757" max="10757" width="12.42578125" style="1" customWidth="1"/>
    <col min="10758" max="10758" width="11.28515625" style="1" customWidth="1"/>
    <col min="10759" max="10759" width="11.5703125" style="1" customWidth="1"/>
    <col min="10760" max="10760" width="11" style="1" customWidth="1"/>
    <col min="10761" max="10761" width="11.140625" style="1" customWidth="1"/>
    <col min="10762" max="10763" width="11" style="1" customWidth="1"/>
    <col min="10764" max="10764" width="11.140625" style="1" customWidth="1"/>
    <col min="10765" max="10765" width="10.85546875" style="1" customWidth="1"/>
    <col min="10766" max="10766" width="11" style="1" customWidth="1"/>
    <col min="10767" max="10767" width="10.140625" style="1" customWidth="1"/>
    <col min="10768" max="10768" width="9.42578125" style="1" bestFit="1" customWidth="1"/>
    <col min="10769" max="11008" width="9.140625" style="1"/>
    <col min="11009" max="11009" width="4.140625" style="1" customWidth="1"/>
    <col min="11010" max="11010" width="5.5703125" style="1" customWidth="1"/>
    <col min="11011" max="11011" width="34" style="1" customWidth="1"/>
    <col min="11012" max="11012" width="12.28515625" style="1" customWidth="1"/>
    <col min="11013" max="11013" width="12.42578125" style="1" customWidth="1"/>
    <col min="11014" max="11014" width="11.28515625" style="1" customWidth="1"/>
    <col min="11015" max="11015" width="11.5703125" style="1" customWidth="1"/>
    <col min="11016" max="11016" width="11" style="1" customWidth="1"/>
    <col min="11017" max="11017" width="11.140625" style="1" customWidth="1"/>
    <col min="11018" max="11019" width="11" style="1" customWidth="1"/>
    <col min="11020" max="11020" width="11.140625" style="1" customWidth="1"/>
    <col min="11021" max="11021" width="10.85546875" style="1" customWidth="1"/>
    <col min="11022" max="11022" width="11" style="1" customWidth="1"/>
    <col min="11023" max="11023" width="10.140625" style="1" customWidth="1"/>
    <col min="11024" max="11024" width="9.42578125" style="1" bestFit="1" customWidth="1"/>
    <col min="11025" max="11264" width="9.140625" style="1"/>
    <col min="11265" max="11265" width="4.140625" style="1" customWidth="1"/>
    <col min="11266" max="11266" width="5.5703125" style="1" customWidth="1"/>
    <col min="11267" max="11267" width="34" style="1" customWidth="1"/>
    <col min="11268" max="11268" width="12.28515625" style="1" customWidth="1"/>
    <col min="11269" max="11269" width="12.42578125" style="1" customWidth="1"/>
    <col min="11270" max="11270" width="11.28515625" style="1" customWidth="1"/>
    <col min="11271" max="11271" width="11.5703125" style="1" customWidth="1"/>
    <col min="11272" max="11272" width="11" style="1" customWidth="1"/>
    <col min="11273" max="11273" width="11.140625" style="1" customWidth="1"/>
    <col min="11274" max="11275" width="11" style="1" customWidth="1"/>
    <col min="11276" max="11276" width="11.140625" style="1" customWidth="1"/>
    <col min="11277" max="11277" width="10.85546875" style="1" customWidth="1"/>
    <col min="11278" max="11278" width="11" style="1" customWidth="1"/>
    <col min="11279" max="11279" width="10.140625" style="1" customWidth="1"/>
    <col min="11280" max="11280" width="9.42578125" style="1" bestFit="1" customWidth="1"/>
    <col min="11281" max="11520" width="9.140625" style="1"/>
    <col min="11521" max="11521" width="4.140625" style="1" customWidth="1"/>
    <col min="11522" max="11522" width="5.5703125" style="1" customWidth="1"/>
    <col min="11523" max="11523" width="34" style="1" customWidth="1"/>
    <col min="11524" max="11524" width="12.28515625" style="1" customWidth="1"/>
    <col min="11525" max="11525" width="12.42578125" style="1" customWidth="1"/>
    <col min="11526" max="11526" width="11.28515625" style="1" customWidth="1"/>
    <col min="11527" max="11527" width="11.5703125" style="1" customWidth="1"/>
    <col min="11528" max="11528" width="11" style="1" customWidth="1"/>
    <col min="11529" max="11529" width="11.140625" style="1" customWidth="1"/>
    <col min="11530" max="11531" width="11" style="1" customWidth="1"/>
    <col min="11532" max="11532" width="11.140625" style="1" customWidth="1"/>
    <col min="11533" max="11533" width="10.85546875" style="1" customWidth="1"/>
    <col min="11534" max="11534" width="11" style="1" customWidth="1"/>
    <col min="11535" max="11535" width="10.140625" style="1" customWidth="1"/>
    <col min="11536" max="11536" width="9.42578125" style="1" bestFit="1" customWidth="1"/>
    <col min="11537" max="11776" width="9.140625" style="1"/>
    <col min="11777" max="11777" width="4.140625" style="1" customWidth="1"/>
    <col min="11778" max="11778" width="5.5703125" style="1" customWidth="1"/>
    <col min="11779" max="11779" width="34" style="1" customWidth="1"/>
    <col min="11780" max="11780" width="12.28515625" style="1" customWidth="1"/>
    <col min="11781" max="11781" width="12.42578125" style="1" customWidth="1"/>
    <col min="11782" max="11782" width="11.28515625" style="1" customWidth="1"/>
    <col min="11783" max="11783" width="11.5703125" style="1" customWidth="1"/>
    <col min="11784" max="11784" width="11" style="1" customWidth="1"/>
    <col min="11785" max="11785" width="11.140625" style="1" customWidth="1"/>
    <col min="11786" max="11787" width="11" style="1" customWidth="1"/>
    <col min="11788" max="11788" width="11.140625" style="1" customWidth="1"/>
    <col min="11789" max="11789" width="10.85546875" style="1" customWidth="1"/>
    <col min="11790" max="11790" width="11" style="1" customWidth="1"/>
    <col min="11791" max="11791" width="10.140625" style="1" customWidth="1"/>
    <col min="11792" max="11792" width="9.42578125" style="1" bestFit="1" customWidth="1"/>
    <col min="11793" max="12032" width="9.140625" style="1"/>
    <col min="12033" max="12033" width="4.140625" style="1" customWidth="1"/>
    <col min="12034" max="12034" width="5.5703125" style="1" customWidth="1"/>
    <col min="12035" max="12035" width="34" style="1" customWidth="1"/>
    <col min="12036" max="12036" width="12.28515625" style="1" customWidth="1"/>
    <col min="12037" max="12037" width="12.42578125" style="1" customWidth="1"/>
    <col min="12038" max="12038" width="11.28515625" style="1" customWidth="1"/>
    <col min="12039" max="12039" width="11.5703125" style="1" customWidth="1"/>
    <col min="12040" max="12040" width="11" style="1" customWidth="1"/>
    <col min="12041" max="12041" width="11.140625" style="1" customWidth="1"/>
    <col min="12042" max="12043" width="11" style="1" customWidth="1"/>
    <col min="12044" max="12044" width="11.140625" style="1" customWidth="1"/>
    <col min="12045" max="12045" width="10.85546875" style="1" customWidth="1"/>
    <col min="12046" max="12046" width="11" style="1" customWidth="1"/>
    <col min="12047" max="12047" width="10.140625" style="1" customWidth="1"/>
    <col min="12048" max="12048" width="9.42578125" style="1" bestFit="1" customWidth="1"/>
    <col min="12049" max="12288" width="9.140625" style="1"/>
    <col min="12289" max="12289" width="4.140625" style="1" customWidth="1"/>
    <col min="12290" max="12290" width="5.5703125" style="1" customWidth="1"/>
    <col min="12291" max="12291" width="34" style="1" customWidth="1"/>
    <col min="12292" max="12292" width="12.28515625" style="1" customWidth="1"/>
    <col min="12293" max="12293" width="12.42578125" style="1" customWidth="1"/>
    <col min="12294" max="12294" width="11.28515625" style="1" customWidth="1"/>
    <col min="12295" max="12295" width="11.5703125" style="1" customWidth="1"/>
    <col min="12296" max="12296" width="11" style="1" customWidth="1"/>
    <col min="12297" max="12297" width="11.140625" style="1" customWidth="1"/>
    <col min="12298" max="12299" width="11" style="1" customWidth="1"/>
    <col min="12300" max="12300" width="11.140625" style="1" customWidth="1"/>
    <col min="12301" max="12301" width="10.85546875" style="1" customWidth="1"/>
    <col min="12302" max="12302" width="11" style="1" customWidth="1"/>
    <col min="12303" max="12303" width="10.140625" style="1" customWidth="1"/>
    <col min="12304" max="12304" width="9.42578125" style="1" bestFit="1" customWidth="1"/>
    <col min="12305" max="12544" width="9.140625" style="1"/>
    <col min="12545" max="12545" width="4.140625" style="1" customWidth="1"/>
    <col min="12546" max="12546" width="5.5703125" style="1" customWidth="1"/>
    <col min="12547" max="12547" width="34" style="1" customWidth="1"/>
    <col min="12548" max="12548" width="12.28515625" style="1" customWidth="1"/>
    <col min="12549" max="12549" width="12.42578125" style="1" customWidth="1"/>
    <col min="12550" max="12550" width="11.28515625" style="1" customWidth="1"/>
    <col min="12551" max="12551" width="11.5703125" style="1" customWidth="1"/>
    <col min="12552" max="12552" width="11" style="1" customWidth="1"/>
    <col min="12553" max="12553" width="11.140625" style="1" customWidth="1"/>
    <col min="12554" max="12555" width="11" style="1" customWidth="1"/>
    <col min="12556" max="12556" width="11.140625" style="1" customWidth="1"/>
    <col min="12557" max="12557" width="10.85546875" style="1" customWidth="1"/>
    <col min="12558" max="12558" width="11" style="1" customWidth="1"/>
    <col min="12559" max="12559" width="10.140625" style="1" customWidth="1"/>
    <col min="12560" max="12560" width="9.42578125" style="1" bestFit="1" customWidth="1"/>
    <col min="12561" max="12800" width="9.140625" style="1"/>
    <col min="12801" max="12801" width="4.140625" style="1" customWidth="1"/>
    <col min="12802" max="12802" width="5.5703125" style="1" customWidth="1"/>
    <col min="12803" max="12803" width="34" style="1" customWidth="1"/>
    <col min="12804" max="12804" width="12.28515625" style="1" customWidth="1"/>
    <col min="12805" max="12805" width="12.42578125" style="1" customWidth="1"/>
    <col min="12806" max="12806" width="11.28515625" style="1" customWidth="1"/>
    <col min="12807" max="12807" width="11.5703125" style="1" customWidth="1"/>
    <col min="12808" max="12808" width="11" style="1" customWidth="1"/>
    <col min="12809" max="12809" width="11.140625" style="1" customWidth="1"/>
    <col min="12810" max="12811" width="11" style="1" customWidth="1"/>
    <col min="12812" max="12812" width="11.140625" style="1" customWidth="1"/>
    <col min="12813" max="12813" width="10.85546875" style="1" customWidth="1"/>
    <col min="12814" max="12814" width="11" style="1" customWidth="1"/>
    <col min="12815" max="12815" width="10.140625" style="1" customWidth="1"/>
    <col min="12816" max="12816" width="9.42578125" style="1" bestFit="1" customWidth="1"/>
    <col min="12817" max="13056" width="9.140625" style="1"/>
    <col min="13057" max="13057" width="4.140625" style="1" customWidth="1"/>
    <col min="13058" max="13058" width="5.5703125" style="1" customWidth="1"/>
    <col min="13059" max="13059" width="34" style="1" customWidth="1"/>
    <col min="13060" max="13060" width="12.28515625" style="1" customWidth="1"/>
    <col min="13061" max="13061" width="12.42578125" style="1" customWidth="1"/>
    <col min="13062" max="13062" width="11.28515625" style="1" customWidth="1"/>
    <col min="13063" max="13063" width="11.5703125" style="1" customWidth="1"/>
    <col min="13064" max="13064" width="11" style="1" customWidth="1"/>
    <col min="13065" max="13065" width="11.140625" style="1" customWidth="1"/>
    <col min="13066" max="13067" width="11" style="1" customWidth="1"/>
    <col min="13068" max="13068" width="11.140625" style="1" customWidth="1"/>
    <col min="13069" max="13069" width="10.85546875" style="1" customWidth="1"/>
    <col min="13070" max="13070" width="11" style="1" customWidth="1"/>
    <col min="13071" max="13071" width="10.140625" style="1" customWidth="1"/>
    <col min="13072" max="13072" width="9.42578125" style="1" bestFit="1" customWidth="1"/>
    <col min="13073" max="13312" width="9.140625" style="1"/>
    <col min="13313" max="13313" width="4.140625" style="1" customWidth="1"/>
    <col min="13314" max="13314" width="5.5703125" style="1" customWidth="1"/>
    <col min="13315" max="13315" width="34" style="1" customWidth="1"/>
    <col min="13316" max="13316" width="12.28515625" style="1" customWidth="1"/>
    <col min="13317" max="13317" width="12.42578125" style="1" customWidth="1"/>
    <col min="13318" max="13318" width="11.28515625" style="1" customWidth="1"/>
    <col min="13319" max="13319" width="11.5703125" style="1" customWidth="1"/>
    <col min="13320" max="13320" width="11" style="1" customWidth="1"/>
    <col min="13321" max="13321" width="11.140625" style="1" customWidth="1"/>
    <col min="13322" max="13323" width="11" style="1" customWidth="1"/>
    <col min="13324" max="13324" width="11.140625" style="1" customWidth="1"/>
    <col min="13325" max="13325" width="10.85546875" style="1" customWidth="1"/>
    <col min="13326" max="13326" width="11" style="1" customWidth="1"/>
    <col min="13327" max="13327" width="10.140625" style="1" customWidth="1"/>
    <col min="13328" max="13328" width="9.42578125" style="1" bestFit="1" customWidth="1"/>
    <col min="13329" max="13568" width="9.140625" style="1"/>
    <col min="13569" max="13569" width="4.140625" style="1" customWidth="1"/>
    <col min="13570" max="13570" width="5.5703125" style="1" customWidth="1"/>
    <col min="13571" max="13571" width="34" style="1" customWidth="1"/>
    <col min="13572" max="13572" width="12.28515625" style="1" customWidth="1"/>
    <col min="13573" max="13573" width="12.42578125" style="1" customWidth="1"/>
    <col min="13574" max="13574" width="11.28515625" style="1" customWidth="1"/>
    <col min="13575" max="13575" width="11.5703125" style="1" customWidth="1"/>
    <col min="13576" max="13576" width="11" style="1" customWidth="1"/>
    <col min="13577" max="13577" width="11.140625" style="1" customWidth="1"/>
    <col min="13578" max="13579" width="11" style="1" customWidth="1"/>
    <col min="13580" max="13580" width="11.140625" style="1" customWidth="1"/>
    <col min="13581" max="13581" width="10.85546875" style="1" customWidth="1"/>
    <col min="13582" max="13582" width="11" style="1" customWidth="1"/>
    <col min="13583" max="13583" width="10.140625" style="1" customWidth="1"/>
    <col min="13584" max="13584" width="9.42578125" style="1" bestFit="1" customWidth="1"/>
    <col min="13585" max="13824" width="9.140625" style="1"/>
    <col min="13825" max="13825" width="4.140625" style="1" customWidth="1"/>
    <col min="13826" max="13826" width="5.5703125" style="1" customWidth="1"/>
    <col min="13827" max="13827" width="34" style="1" customWidth="1"/>
    <col min="13828" max="13828" width="12.28515625" style="1" customWidth="1"/>
    <col min="13829" max="13829" width="12.42578125" style="1" customWidth="1"/>
    <col min="13830" max="13830" width="11.28515625" style="1" customWidth="1"/>
    <col min="13831" max="13831" width="11.5703125" style="1" customWidth="1"/>
    <col min="13832" max="13832" width="11" style="1" customWidth="1"/>
    <col min="13833" max="13833" width="11.140625" style="1" customWidth="1"/>
    <col min="13834" max="13835" width="11" style="1" customWidth="1"/>
    <col min="13836" max="13836" width="11.140625" style="1" customWidth="1"/>
    <col min="13837" max="13837" width="10.85546875" style="1" customWidth="1"/>
    <col min="13838" max="13838" width="11" style="1" customWidth="1"/>
    <col min="13839" max="13839" width="10.140625" style="1" customWidth="1"/>
    <col min="13840" max="13840" width="9.42578125" style="1" bestFit="1" customWidth="1"/>
    <col min="13841" max="14080" width="9.140625" style="1"/>
    <col min="14081" max="14081" width="4.140625" style="1" customWidth="1"/>
    <col min="14082" max="14082" width="5.5703125" style="1" customWidth="1"/>
    <col min="14083" max="14083" width="34" style="1" customWidth="1"/>
    <col min="14084" max="14084" width="12.28515625" style="1" customWidth="1"/>
    <col min="14085" max="14085" width="12.42578125" style="1" customWidth="1"/>
    <col min="14086" max="14086" width="11.28515625" style="1" customWidth="1"/>
    <col min="14087" max="14087" width="11.5703125" style="1" customWidth="1"/>
    <col min="14088" max="14088" width="11" style="1" customWidth="1"/>
    <col min="14089" max="14089" width="11.140625" style="1" customWidth="1"/>
    <col min="14090" max="14091" width="11" style="1" customWidth="1"/>
    <col min="14092" max="14092" width="11.140625" style="1" customWidth="1"/>
    <col min="14093" max="14093" width="10.85546875" style="1" customWidth="1"/>
    <col min="14094" max="14094" width="11" style="1" customWidth="1"/>
    <col min="14095" max="14095" width="10.140625" style="1" customWidth="1"/>
    <col min="14096" max="14096" width="9.42578125" style="1" bestFit="1" customWidth="1"/>
    <col min="14097" max="14336" width="9.140625" style="1"/>
    <col min="14337" max="14337" width="4.140625" style="1" customWidth="1"/>
    <col min="14338" max="14338" width="5.5703125" style="1" customWidth="1"/>
    <col min="14339" max="14339" width="34" style="1" customWidth="1"/>
    <col min="14340" max="14340" width="12.28515625" style="1" customWidth="1"/>
    <col min="14341" max="14341" width="12.42578125" style="1" customWidth="1"/>
    <col min="14342" max="14342" width="11.28515625" style="1" customWidth="1"/>
    <col min="14343" max="14343" width="11.5703125" style="1" customWidth="1"/>
    <col min="14344" max="14344" width="11" style="1" customWidth="1"/>
    <col min="14345" max="14345" width="11.140625" style="1" customWidth="1"/>
    <col min="14346" max="14347" width="11" style="1" customWidth="1"/>
    <col min="14348" max="14348" width="11.140625" style="1" customWidth="1"/>
    <col min="14349" max="14349" width="10.85546875" style="1" customWidth="1"/>
    <col min="14350" max="14350" width="11" style="1" customWidth="1"/>
    <col min="14351" max="14351" width="10.140625" style="1" customWidth="1"/>
    <col min="14352" max="14352" width="9.42578125" style="1" bestFit="1" customWidth="1"/>
    <col min="14353" max="14592" width="9.140625" style="1"/>
    <col min="14593" max="14593" width="4.140625" style="1" customWidth="1"/>
    <col min="14594" max="14594" width="5.5703125" style="1" customWidth="1"/>
    <col min="14595" max="14595" width="34" style="1" customWidth="1"/>
    <col min="14596" max="14596" width="12.28515625" style="1" customWidth="1"/>
    <col min="14597" max="14597" width="12.42578125" style="1" customWidth="1"/>
    <col min="14598" max="14598" width="11.28515625" style="1" customWidth="1"/>
    <col min="14599" max="14599" width="11.5703125" style="1" customWidth="1"/>
    <col min="14600" max="14600" width="11" style="1" customWidth="1"/>
    <col min="14601" max="14601" width="11.140625" style="1" customWidth="1"/>
    <col min="14602" max="14603" width="11" style="1" customWidth="1"/>
    <col min="14604" max="14604" width="11.140625" style="1" customWidth="1"/>
    <col min="14605" max="14605" width="10.85546875" style="1" customWidth="1"/>
    <col min="14606" max="14606" width="11" style="1" customWidth="1"/>
    <col min="14607" max="14607" width="10.140625" style="1" customWidth="1"/>
    <col min="14608" max="14608" width="9.42578125" style="1" bestFit="1" customWidth="1"/>
    <col min="14609" max="14848" width="9.140625" style="1"/>
    <col min="14849" max="14849" width="4.140625" style="1" customWidth="1"/>
    <col min="14850" max="14850" width="5.5703125" style="1" customWidth="1"/>
    <col min="14851" max="14851" width="34" style="1" customWidth="1"/>
    <col min="14852" max="14852" width="12.28515625" style="1" customWidth="1"/>
    <col min="14853" max="14853" width="12.42578125" style="1" customWidth="1"/>
    <col min="14854" max="14854" width="11.28515625" style="1" customWidth="1"/>
    <col min="14855" max="14855" width="11.5703125" style="1" customWidth="1"/>
    <col min="14856" max="14856" width="11" style="1" customWidth="1"/>
    <col min="14857" max="14857" width="11.140625" style="1" customWidth="1"/>
    <col min="14858" max="14859" width="11" style="1" customWidth="1"/>
    <col min="14860" max="14860" width="11.140625" style="1" customWidth="1"/>
    <col min="14861" max="14861" width="10.85546875" style="1" customWidth="1"/>
    <col min="14862" max="14862" width="11" style="1" customWidth="1"/>
    <col min="14863" max="14863" width="10.140625" style="1" customWidth="1"/>
    <col min="14864" max="14864" width="9.42578125" style="1" bestFit="1" customWidth="1"/>
    <col min="14865" max="15104" width="9.140625" style="1"/>
    <col min="15105" max="15105" width="4.140625" style="1" customWidth="1"/>
    <col min="15106" max="15106" width="5.5703125" style="1" customWidth="1"/>
    <col min="15107" max="15107" width="34" style="1" customWidth="1"/>
    <col min="15108" max="15108" width="12.28515625" style="1" customWidth="1"/>
    <col min="15109" max="15109" width="12.42578125" style="1" customWidth="1"/>
    <col min="15110" max="15110" width="11.28515625" style="1" customWidth="1"/>
    <col min="15111" max="15111" width="11.5703125" style="1" customWidth="1"/>
    <col min="15112" max="15112" width="11" style="1" customWidth="1"/>
    <col min="15113" max="15113" width="11.140625" style="1" customWidth="1"/>
    <col min="15114" max="15115" width="11" style="1" customWidth="1"/>
    <col min="15116" max="15116" width="11.140625" style="1" customWidth="1"/>
    <col min="15117" max="15117" width="10.85546875" style="1" customWidth="1"/>
    <col min="15118" max="15118" width="11" style="1" customWidth="1"/>
    <col min="15119" max="15119" width="10.140625" style="1" customWidth="1"/>
    <col min="15120" max="15120" width="9.42578125" style="1" bestFit="1" customWidth="1"/>
    <col min="15121" max="15360" width="9.140625" style="1"/>
    <col min="15361" max="15361" width="4.140625" style="1" customWidth="1"/>
    <col min="15362" max="15362" width="5.5703125" style="1" customWidth="1"/>
    <col min="15363" max="15363" width="34" style="1" customWidth="1"/>
    <col min="15364" max="15364" width="12.28515625" style="1" customWidth="1"/>
    <col min="15365" max="15365" width="12.42578125" style="1" customWidth="1"/>
    <col min="15366" max="15366" width="11.28515625" style="1" customWidth="1"/>
    <col min="15367" max="15367" width="11.5703125" style="1" customWidth="1"/>
    <col min="15368" max="15368" width="11" style="1" customWidth="1"/>
    <col min="15369" max="15369" width="11.140625" style="1" customWidth="1"/>
    <col min="15370" max="15371" width="11" style="1" customWidth="1"/>
    <col min="15372" max="15372" width="11.140625" style="1" customWidth="1"/>
    <col min="15373" max="15373" width="10.85546875" style="1" customWidth="1"/>
    <col min="15374" max="15374" width="11" style="1" customWidth="1"/>
    <col min="15375" max="15375" width="10.140625" style="1" customWidth="1"/>
    <col min="15376" max="15376" width="9.42578125" style="1" bestFit="1" customWidth="1"/>
    <col min="15377" max="15616" width="9.140625" style="1"/>
    <col min="15617" max="15617" width="4.140625" style="1" customWidth="1"/>
    <col min="15618" max="15618" width="5.5703125" style="1" customWidth="1"/>
    <col min="15619" max="15619" width="34" style="1" customWidth="1"/>
    <col min="15620" max="15620" width="12.28515625" style="1" customWidth="1"/>
    <col min="15621" max="15621" width="12.42578125" style="1" customWidth="1"/>
    <col min="15622" max="15622" width="11.28515625" style="1" customWidth="1"/>
    <col min="15623" max="15623" width="11.5703125" style="1" customWidth="1"/>
    <col min="15624" max="15624" width="11" style="1" customWidth="1"/>
    <col min="15625" max="15625" width="11.140625" style="1" customWidth="1"/>
    <col min="15626" max="15627" width="11" style="1" customWidth="1"/>
    <col min="15628" max="15628" width="11.140625" style="1" customWidth="1"/>
    <col min="15629" max="15629" width="10.85546875" style="1" customWidth="1"/>
    <col min="15630" max="15630" width="11" style="1" customWidth="1"/>
    <col min="15631" max="15631" width="10.140625" style="1" customWidth="1"/>
    <col min="15632" max="15632" width="9.42578125" style="1" bestFit="1" customWidth="1"/>
    <col min="15633" max="15872" width="9.140625" style="1"/>
    <col min="15873" max="15873" width="4.140625" style="1" customWidth="1"/>
    <col min="15874" max="15874" width="5.5703125" style="1" customWidth="1"/>
    <col min="15875" max="15875" width="34" style="1" customWidth="1"/>
    <col min="15876" max="15876" width="12.28515625" style="1" customWidth="1"/>
    <col min="15877" max="15877" width="12.42578125" style="1" customWidth="1"/>
    <col min="15878" max="15878" width="11.28515625" style="1" customWidth="1"/>
    <col min="15879" max="15879" width="11.5703125" style="1" customWidth="1"/>
    <col min="15880" max="15880" width="11" style="1" customWidth="1"/>
    <col min="15881" max="15881" width="11.140625" style="1" customWidth="1"/>
    <col min="15882" max="15883" width="11" style="1" customWidth="1"/>
    <col min="15884" max="15884" width="11.140625" style="1" customWidth="1"/>
    <col min="15885" max="15885" width="10.85546875" style="1" customWidth="1"/>
    <col min="15886" max="15886" width="11" style="1" customWidth="1"/>
    <col min="15887" max="15887" width="10.140625" style="1" customWidth="1"/>
    <col min="15888" max="15888" width="9.42578125" style="1" bestFit="1" customWidth="1"/>
    <col min="15889" max="16128" width="9.140625" style="1"/>
    <col min="16129" max="16129" width="4.140625" style="1" customWidth="1"/>
    <col min="16130" max="16130" width="5.5703125" style="1" customWidth="1"/>
    <col min="16131" max="16131" width="34" style="1" customWidth="1"/>
    <col min="16132" max="16132" width="12.28515625" style="1" customWidth="1"/>
    <col min="16133" max="16133" width="12.42578125" style="1" customWidth="1"/>
    <col min="16134" max="16134" width="11.28515625" style="1" customWidth="1"/>
    <col min="16135" max="16135" width="11.5703125" style="1" customWidth="1"/>
    <col min="16136" max="16136" width="11" style="1" customWidth="1"/>
    <col min="16137" max="16137" width="11.140625" style="1" customWidth="1"/>
    <col min="16138" max="16139" width="11" style="1" customWidth="1"/>
    <col min="16140" max="16140" width="11.140625" style="1" customWidth="1"/>
    <col min="16141" max="16141" width="10.85546875" style="1" customWidth="1"/>
    <col min="16142" max="16142" width="11" style="1" customWidth="1"/>
    <col min="16143" max="16143" width="10.140625" style="1" customWidth="1"/>
    <col min="16144" max="16144" width="9.42578125" style="1" bestFit="1" customWidth="1"/>
    <col min="16145" max="16384" width="9.140625" style="1"/>
  </cols>
  <sheetData>
    <row r="1" spans="1:17" x14ac:dyDescent="0.2">
      <c r="A1" s="2"/>
      <c r="E1" s="5"/>
      <c r="F1" s="5"/>
      <c r="G1" s="5"/>
      <c r="H1" s="5"/>
      <c r="I1" s="5"/>
      <c r="J1" s="5"/>
      <c r="K1" s="5"/>
      <c r="L1" s="33"/>
      <c r="M1" s="33" t="s">
        <v>536</v>
      </c>
    </row>
    <row r="2" spans="1:17" x14ac:dyDescent="0.2">
      <c r="C2" s="2"/>
      <c r="E2" s="5"/>
      <c r="F2" s="5"/>
      <c r="G2" s="5"/>
      <c r="H2" s="5"/>
      <c r="I2" s="5"/>
      <c r="J2" s="5"/>
      <c r="K2" s="5"/>
      <c r="L2" s="33"/>
      <c r="M2" s="33" t="s">
        <v>80</v>
      </c>
    </row>
    <row r="3" spans="1:17" x14ac:dyDescent="0.2">
      <c r="E3" s="5"/>
      <c r="F3" s="5"/>
      <c r="G3" s="5"/>
      <c r="H3" s="5"/>
      <c r="I3" s="5"/>
      <c r="J3" s="5"/>
      <c r="K3" s="5"/>
      <c r="L3" s="33"/>
      <c r="M3" s="33" t="s">
        <v>81</v>
      </c>
    </row>
    <row r="4" spans="1:17" s="5" customFormat="1" ht="12.75" customHeight="1" x14ac:dyDescent="0.2">
      <c r="L4" s="33"/>
      <c r="M4" s="33" t="s">
        <v>82</v>
      </c>
      <c r="O4" s="336"/>
    </row>
    <row r="5" spans="1:17" s="5" customFormat="1" ht="12.75" customHeight="1" x14ac:dyDescent="0.2">
      <c r="C5" s="337"/>
      <c r="O5" s="336"/>
    </row>
    <row r="6" spans="1:17" ht="18.75" customHeight="1" x14ac:dyDescent="0.2">
      <c r="A6" s="338" t="s">
        <v>537</v>
      </c>
      <c r="B6" s="339"/>
      <c r="C6" s="339"/>
      <c r="D6" s="339"/>
      <c r="E6" s="339"/>
      <c r="F6" s="339"/>
      <c r="G6" s="339"/>
      <c r="H6" s="339"/>
      <c r="I6" s="339"/>
      <c r="J6" s="339"/>
      <c r="K6" s="339"/>
      <c r="L6" s="339"/>
      <c r="M6" s="339"/>
      <c r="N6" s="339"/>
    </row>
    <row r="7" spans="1:17" ht="9" customHeight="1" x14ac:dyDescent="0.2">
      <c r="A7" s="338"/>
      <c r="B7" s="339"/>
      <c r="C7" s="339"/>
    </row>
    <row r="8" spans="1:17" s="5" customFormat="1" ht="12" x14ac:dyDescent="0.2">
      <c r="L8" s="35"/>
      <c r="M8" s="34" t="s">
        <v>2</v>
      </c>
      <c r="N8" s="34"/>
      <c r="O8" s="336"/>
    </row>
    <row r="9" spans="1:17" x14ac:dyDescent="0.2">
      <c r="A9" s="1238"/>
      <c r="B9" s="1238"/>
      <c r="C9" s="1238"/>
      <c r="D9" s="1239"/>
      <c r="E9" s="1240" t="s">
        <v>538</v>
      </c>
      <c r="F9" s="1241"/>
      <c r="G9" s="1241"/>
      <c r="H9" s="1241"/>
      <c r="I9" s="1241"/>
      <c r="J9" s="1241"/>
      <c r="K9" s="1241"/>
      <c r="L9" s="1240"/>
      <c r="M9" s="1241"/>
      <c r="N9" s="1242"/>
    </row>
    <row r="10" spans="1:17" x14ac:dyDescent="0.2">
      <c r="A10" s="165"/>
      <c r="B10" s="165"/>
      <c r="C10" s="165"/>
      <c r="D10" s="340"/>
      <c r="E10" s="373"/>
      <c r="F10" s="1240" t="s">
        <v>539</v>
      </c>
      <c r="G10" s="1241"/>
      <c r="H10" s="1241"/>
      <c r="I10" s="1241"/>
      <c r="J10" s="1241"/>
      <c r="K10" s="1242"/>
      <c r="L10" s="373"/>
      <c r="M10" s="1240" t="s">
        <v>540</v>
      </c>
      <c r="N10" s="1242"/>
    </row>
    <row r="11" spans="1:17" ht="12.75" customHeight="1" x14ac:dyDescent="0.2">
      <c r="A11" s="373" t="s">
        <v>6</v>
      </c>
      <c r="B11" s="373" t="s">
        <v>86</v>
      </c>
      <c r="C11" s="373" t="s">
        <v>541</v>
      </c>
      <c r="D11" s="341" t="s">
        <v>542</v>
      </c>
      <c r="E11" s="342" t="s">
        <v>543</v>
      </c>
      <c r="F11" s="1243"/>
      <c r="G11" s="1244" t="s">
        <v>540</v>
      </c>
      <c r="H11" s="1245"/>
      <c r="I11" s="1246"/>
      <c r="J11" s="1246"/>
      <c r="K11" s="1246" t="s">
        <v>544</v>
      </c>
      <c r="L11" s="342" t="s">
        <v>543</v>
      </c>
      <c r="M11" s="1246" t="s">
        <v>545</v>
      </c>
      <c r="N11" s="1246" t="s">
        <v>546</v>
      </c>
    </row>
    <row r="12" spans="1:17" x14ac:dyDescent="0.2">
      <c r="A12" s="373"/>
      <c r="B12" s="373"/>
      <c r="C12" s="373"/>
      <c r="D12" s="343" t="s">
        <v>9</v>
      </c>
      <c r="E12" s="344" t="s">
        <v>547</v>
      </c>
      <c r="F12" s="1243" t="s">
        <v>548</v>
      </c>
      <c r="G12" s="1247"/>
      <c r="H12" s="1248" t="s">
        <v>544</v>
      </c>
      <c r="I12" s="1246" t="s">
        <v>549</v>
      </c>
      <c r="J12" s="1246" t="s">
        <v>550</v>
      </c>
      <c r="K12" s="1246" t="s">
        <v>551</v>
      </c>
      <c r="L12" s="344" t="s">
        <v>552</v>
      </c>
      <c r="M12" s="1246" t="s">
        <v>553</v>
      </c>
      <c r="N12" s="1246" t="s">
        <v>554</v>
      </c>
    </row>
    <row r="13" spans="1:17" x14ac:dyDescent="0.2">
      <c r="A13" s="373"/>
      <c r="B13" s="373"/>
      <c r="C13" s="373"/>
      <c r="D13" s="1246"/>
      <c r="E13" s="1246"/>
      <c r="F13" s="1246" t="s">
        <v>547</v>
      </c>
      <c r="G13" s="1249" t="s">
        <v>555</v>
      </c>
      <c r="H13" s="1249" t="s">
        <v>556</v>
      </c>
      <c r="I13" s="1246" t="s">
        <v>557</v>
      </c>
      <c r="J13" s="1246" t="s">
        <v>558</v>
      </c>
      <c r="K13" s="1246" t="s">
        <v>559</v>
      </c>
      <c r="L13" s="1246"/>
      <c r="M13" s="1246" t="s">
        <v>560</v>
      </c>
      <c r="N13" s="1246" t="s">
        <v>559</v>
      </c>
    </row>
    <row r="14" spans="1:17" x14ac:dyDescent="0.2">
      <c r="A14" s="373"/>
      <c r="B14" s="373"/>
      <c r="C14" s="373"/>
      <c r="D14" s="1246"/>
      <c r="E14" s="1246"/>
      <c r="F14" s="1246" t="s">
        <v>561</v>
      </c>
      <c r="G14" s="1249" t="s">
        <v>562</v>
      </c>
      <c r="H14" s="1249" t="s">
        <v>563</v>
      </c>
      <c r="I14" s="1246" t="s">
        <v>547</v>
      </c>
      <c r="J14" s="1246" t="s">
        <v>564</v>
      </c>
      <c r="K14" s="1246" t="s">
        <v>565</v>
      </c>
      <c r="L14" s="1246"/>
      <c r="M14" s="1246" t="s">
        <v>566</v>
      </c>
      <c r="N14" s="1246" t="s">
        <v>565</v>
      </c>
    </row>
    <row r="15" spans="1:17" ht="14.25" customHeight="1" x14ac:dyDescent="0.2">
      <c r="A15" s="282"/>
      <c r="B15" s="282"/>
      <c r="C15" s="282"/>
      <c r="D15" s="1246"/>
      <c r="E15" s="1246"/>
      <c r="F15" s="373" t="s">
        <v>567</v>
      </c>
      <c r="G15" s="1209" t="s">
        <v>568</v>
      </c>
      <c r="H15" s="1209" t="s">
        <v>569</v>
      </c>
      <c r="I15" s="835"/>
      <c r="J15" s="835" t="s">
        <v>570</v>
      </c>
      <c r="K15" s="835" t="s">
        <v>571</v>
      </c>
      <c r="L15" s="1246"/>
      <c r="M15" s="835" t="s">
        <v>572</v>
      </c>
      <c r="N15" s="835" t="s">
        <v>571</v>
      </c>
      <c r="Q15" s="345"/>
    </row>
    <row r="16" spans="1:17" s="30" customFormat="1" ht="11.25" x14ac:dyDescent="0.2">
      <c r="A16" s="1250">
        <v>1</v>
      </c>
      <c r="B16" s="1250">
        <v>2</v>
      </c>
      <c r="C16" s="1250">
        <v>3</v>
      </c>
      <c r="D16" s="1250">
        <v>4</v>
      </c>
      <c r="E16" s="1250">
        <v>5</v>
      </c>
      <c r="F16" s="1250">
        <v>6</v>
      </c>
      <c r="G16" s="1250">
        <v>7</v>
      </c>
      <c r="H16" s="1250">
        <v>8</v>
      </c>
      <c r="I16" s="1250">
        <v>9</v>
      </c>
      <c r="J16" s="1250">
        <v>10</v>
      </c>
      <c r="K16" s="1250">
        <v>11</v>
      </c>
      <c r="L16" s="1250">
        <v>12</v>
      </c>
      <c r="M16" s="1250">
        <v>13</v>
      </c>
      <c r="N16" s="1250">
        <v>14</v>
      </c>
      <c r="O16" s="336"/>
      <c r="Q16" s="346"/>
    </row>
    <row r="17" spans="1:17" s="347" customFormat="1" ht="16.5" customHeight="1" x14ac:dyDescent="0.2">
      <c r="A17" s="1251" t="s">
        <v>573</v>
      </c>
      <c r="B17" s="1252"/>
      <c r="C17" s="1253"/>
      <c r="D17" s="1252"/>
      <c r="E17" s="1252"/>
      <c r="F17" s="1252"/>
      <c r="G17" s="1252"/>
      <c r="H17" s="1252"/>
      <c r="I17" s="1252"/>
      <c r="J17" s="1252"/>
      <c r="K17" s="1252"/>
      <c r="L17" s="1252"/>
      <c r="M17" s="1252"/>
      <c r="N17" s="1254"/>
      <c r="Q17" s="348"/>
    </row>
    <row r="18" spans="1:17" s="33" customFormat="1" ht="15.75" customHeight="1" thickBot="1" x14ac:dyDescent="0.25">
      <c r="A18" s="230" t="s">
        <v>17</v>
      </c>
      <c r="B18" s="230"/>
      <c r="C18" s="1255" t="s">
        <v>18</v>
      </c>
      <c r="D18" s="355">
        <f>SUM(D19)</f>
        <v>2000</v>
      </c>
      <c r="E18" s="355">
        <f t="shared" ref="E18:N18" si="0">SUM(E19)</f>
        <v>2000</v>
      </c>
      <c r="F18" s="355">
        <f t="shared" si="0"/>
        <v>2000</v>
      </c>
      <c r="G18" s="355">
        <f t="shared" si="0"/>
        <v>0</v>
      </c>
      <c r="H18" s="355">
        <f t="shared" si="0"/>
        <v>2000</v>
      </c>
      <c r="I18" s="355">
        <f t="shared" si="0"/>
        <v>0</v>
      </c>
      <c r="J18" s="355">
        <f t="shared" si="0"/>
        <v>0</v>
      </c>
      <c r="K18" s="355">
        <f t="shared" si="0"/>
        <v>0</v>
      </c>
      <c r="L18" s="355">
        <f t="shared" si="0"/>
        <v>0</v>
      </c>
      <c r="M18" s="355">
        <f t="shared" si="0"/>
        <v>0</v>
      </c>
      <c r="N18" s="355">
        <f t="shared" si="0"/>
        <v>0</v>
      </c>
      <c r="O18" s="336"/>
      <c r="Q18" s="349"/>
    </row>
    <row r="19" spans="1:17" s="33" customFormat="1" ht="12" thickTop="1" x14ac:dyDescent="0.2">
      <c r="A19" s="216"/>
      <c r="B19" s="216" t="s">
        <v>574</v>
      </c>
      <c r="C19" s="374" t="s">
        <v>575</v>
      </c>
      <c r="D19" s="254">
        <f>SUM(E19,L19)</f>
        <v>2000</v>
      </c>
      <c r="E19" s="254">
        <f>SUM(F19,I19:K19)</f>
        <v>2000</v>
      </c>
      <c r="F19" s="254">
        <f>SUM(G19:H19)</f>
        <v>2000</v>
      </c>
      <c r="G19" s="254">
        <v>0</v>
      </c>
      <c r="H19" s="254">
        <v>2000</v>
      </c>
      <c r="I19" s="254">
        <v>0</v>
      </c>
      <c r="J19" s="254">
        <v>0</v>
      </c>
      <c r="K19" s="254">
        <v>0</v>
      </c>
      <c r="L19" s="254">
        <f>SUM(M19:N19)</f>
        <v>0</v>
      </c>
      <c r="M19" s="254">
        <v>0</v>
      </c>
      <c r="N19" s="254">
        <v>0</v>
      </c>
      <c r="O19" s="336"/>
      <c r="Q19" s="349"/>
    </row>
    <row r="20" spans="1:17" s="33" customFormat="1" ht="12" thickBot="1" x14ac:dyDescent="0.25">
      <c r="A20" s="230" t="s">
        <v>19</v>
      </c>
      <c r="B20" s="342"/>
      <c r="C20" s="370" t="s">
        <v>20</v>
      </c>
      <c r="D20" s="192">
        <f>SUM(D21)</f>
        <v>132200</v>
      </c>
      <c r="E20" s="192">
        <f t="shared" ref="E20:N20" si="1">SUM(E21)</f>
        <v>132200</v>
      </c>
      <c r="F20" s="192">
        <f t="shared" si="1"/>
        <v>132200</v>
      </c>
      <c r="G20" s="192">
        <f t="shared" si="1"/>
        <v>0</v>
      </c>
      <c r="H20" s="192">
        <f t="shared" si="1"/>
        <v>132200</v>
      </c>
      <c r="I20" s="192">
        <f t="shared" si="1"/>
        <v>0</v>
      </c>
      <c r="J20" s="192">
        <f t="shared" si="1"/>
        <v>0</v>
      </c>
      <c r="K20" s="192">
        <f t="shared" si="1"/>
        <v>0</v>
      </c>
      <c r="L20" s="192">
        <f t="shared" si="1"/>
        <v>0</v>
      </c>
      <c r="M20" s="192">
        <f t="shared" si="1"/>
        <v>0</v>
      </c>
      <c r="N20" s="192">
        <f t="shared" si="1"/>
        <v>0</v>
      </c>
      <c r="O20" s="336"/>
      <c r="Q20" s="349"/>
    </row>
    <row r="21" spans="1:17" s="33" customFormat="1" ht="12" thickTop="1" x14ac:dyDescent="0.2">
      <c r="A21" s="230"/>
      <c r="B21" s="216" t="s">
        <v>104</v>
      </c>
      <c r="C21" s="282" t="s">
        <v>576</v>
      </c>
      <c r="D21" s="266">
        <f>SUM(E21,L21)</f>
        <v>132200</v>
      </c>
      <c r="E21" s="266">
        <f>SUM(F21,I21:K21)</f>
        <v>132200</v>
      </c>
      <c r="F21" s="266">
        <f>SUM(G21:H21)</f>
        <v>132200</v>
      </c>
      <c r="G21" s="245">
        <v>0</v>
      </c>
      <c r="H21" s="245">
        <v>132200</v>
      </c>
      <c r="I21" s="245">
        <v>0</v>
      </c>
      <c r="J21" s="245">
        <v>0</v>
      </c>
      <c r="K21" s="245">
        <v>0</v>
      </c>
      <c r="L21" s="266">
        <f>SUM(M21:N21)</f>
        <v>0</v>
      </c>
      <c r="M21" s="245">
        <v>0</v>
      </c>
      <c r="N21" s="245">
        <v>0</v>
      </c>
      <c r="O21" s="336"/>
      <c r="Q21" s="349"/>
    </row>
    <row r="22" spans="1:17" s="71" customFormat="1" thickBot="1" x14ac:dyDescent="0.25">
      <c r="A22" s="342">
        <v>600</v>
      </c>
      <c r="B22" s="342"/>
      <c r="C22" s="1255" t="s">
        <v>25</v>
      </c>
      <c r="D22" s="355">
        <f>SUM(D23:D29)</f>
        <v>187264289.51999998</v>
      </c>
      <c r="E22" s="355">
        <f t="shared" ref="E22:N22" si="2">SUM(E23:E29)</f>
        <v>67286966.789999992</v>
      </c>
      <c r="F22" s="355">
        <f>SUM(F23:F29)</f>
        <v>67051674.600000001</v>
      </c>
      <c r="G22" s="355">
        <f t="shared" si="2"/>
        <v>14626974.5</v>
      </c>
      <c r="H22" s="355">
        <f t="shared" si="2"/>
        <v>52424700.100000001</v>
      </c>
      <c r="I22" s="355">
        <f t="shared" si="2"/>
        <v>0</v>
      </c>
      <c r="J22" s="355">
        <f t="shared" si="2"/>
        <v>148000</v>
      </c>
      <c r="K22" s="355">
        <f t="shared" si="2"/>
        <v>87292.19</v>
      </c>
      <c r="L22" s="355">
        <f t="shared" si="2"/>
        <v>119977322.72999999</v>
      </c>
      <c r="M22" s="355">
        <f t="shared" si="2"/>
        <v>19555979.260000002</v>
      </c>
      <c r="N22" s="355">
        <f t="shared" si="2"/>
        <v>100421343.47</v>
      </c>
      <c r="O22" s="228"/>
      <c r="Q22" s="350"/>
    </row>
    <row r="23" spans="1:17" s="5" customFormat="1" thickTop="1" x14ac:dyDescent="0.2">
      <c r="A23" s="373"/>
      <c r="B23" s="373">
        <v>60004</v>
      </c>
      <c r="C23" s="374" t="s">
        <v>577</v>
      </c>
      <c r="D23" s="254">
        <f t="shared" ref="D23:D29" si="3">SUM(E23,L23)</f>
        <v>128177821.06999999</v>
      </c>
      <c r="E23" s="254">
        <f t="shared" ref="E23:E29" si="4">SUM(F23,I23:K23)</f>
        <v>43770324.689999998</v>
      </c>
      <c r="F23" s="266">
        <f t="shared" ref="F23:F29" si="5">SUM(G23:H23)</f>
        <v>43683032.5</v>
      </c>
      <c r="G23" s="254">
        <v>0</v>
      </c>
      <c r="H23" s="254">
        <v>43683032.5</v>
      </c>
      <c r="I23" s="254">
        <v>0</v>
      </c>
      <c r="J23" s="254">
        <v>0</v>
      </c>
      <c r="K23" s="254">
        <v>87292.19</v>
      </c>
      <c r="L23" s="254">
        <f t="shared" ref="L23:L29" si="6">SUM(M23:N23)</f>
        <v>84407496.379999995</v>
      </c>
      <c r="M23" s="254">
        <v>0</v>
      </c>
      <c r="N23" s="254">
        <v>84407496.379999995</v>
      </c>
      <c r="O23" s="336"/>
      <c r="Q23" s="351"/>
    </row>
    <row r="24" spans="1:17" s="2" customFormat="1" ht="12" x14ac:dyDescent="0.2">
      <c r="A24" s="216"/>
      <c r="B24" s="373">
        <v>60016</v>
      </c>
      <c r="C24" s="282" t="s">
        <v>145</v>
      </c>
      <c r="D24" s="322">
        <f t="shared" si="3"/>
        <v>39684416.350000001</v>
      </c>
      <c r="E24" s="322">
        <f t="shared" si="4"/>
        <v>5114590</v>
      </c>
      <c r="F24" s="322">
        <f t="shared" si="5"/>
        <v>5114590</v>
      </c>
      <c r="G24" s="245">
        <v>0</v>
      </c>
      <c r="H24" s="245">
        <v>5114590</v>
      </c>
      <c r="I24" s="245">
        <v>0</v>
      </c>
      <c r="J24" s="245">
        <v>0</v>
      </c>
      <c r="K24" s="245">
        <v>0</v>
      </c>
      <c r="L24" s="266">
        <f t="shared" si="6"/>
        <v>34569826.350000001</v>
      </c>
      <c r="M24" s="245">
        <v>18555979.260000002</v>
      </c>
      <c r="N24" s="245">
        <v>16013847.09</v>
      </c>
      <c r="O24" s="336"/>
      <c r="Q24" s="350"/>
    </row>
    <row r="25" spans="1:17" s="2" customFormat="1" ht="12" x14ac:dyDescent="0.2">
      <c r="A25" s="373"/>
      <c r="B25" s="373">
        <v>60017</v>
      </c>
      <c r="C25" s="282" t="s">
        <v>164</v>
      </c>
      <c r="D25" s="266">
        <f t="shared" si="3"/>
        <v>1517840.5</v>
      </c>
      <c r="E25" s="266">
        <f t="shared" si="4"/>
        <v>517840.5</v>
      </c>
      <c r="F25" s="266">
        <f t="shared" si="5"/>
        <v>517840.5</v>
      </c>
      <c r="G25" s="245">
        <v>0</v>
      </c>
      <c r="H25" s="245">
        <v>517840.5</v>
      </c>
      <c r="I25" s="245">
        <v>0</v>
      </c>
      <c r="J25" s="245">
        <v>0</v>
      </c>
      <c r="K25" s="245">
        <v>0</v>
      </c>
      <c r="L25" s="266">
        <f t="shared" si="6"/>
        <v>1000000</v>
      </c>
      <c r="M25" s="245">
        <v>1000000</v>
      </c>
      <c r="N25" s="245">
        <v>0</v>
      </c>
      <c r="O25" s="336"/>
      <c r="Q25" s="350"/>
    </row>
    <row r="26" spans="1:17" s="2" customFormat="1" ht="12" x14ac:dyDescent="0.2">
      <c r="A26" s="373"/>
      <c r="B26" s="373">
        <v>60019</v>
      </c>
      <c r="C26" s="282" t="s">
        <v>166</v>
      </c>
      <c r="D26" s="322">
        <f t="shared" si="3"/>
        <v>598100</v>
      </c>
      <c r="E26" s="266">
        <f t="shared" si="4"/>
        <v>598100</v>
      </c>
      <c r="F26" s="266">
        <f t="shared" si="5"/>
        <v>598100</v>
      </c>
      <c r="G26" s="245">
        <v>0</v>
      </c>
      <c r="H26" s="245">
        <v>598100</v>
      </c>
      <c r="I26" s="245">
        <v>0</v>
      </c>
      <c r="J26" s="245">
        <v>0</v>
      </c>
      <c r="K26" s="245">
        <v>0</v>
      </c>
      <c r="L26" s="266">
        <f t="shared" si="6"/>
        <v>0</v>
      </c>
      <c r="M26" s="245">
        <v>0</v>
      </c>
      <c r="N26" s="245">
        <v>0</v>
      </c>
      <c r="O26" s="336"/>
      <c r="Q26" s="350"/>
    </row>
    <row r="27" spans="1:17" s="2" customFormat="1" ht="12" x14ac:dyDescent="0.2">
      <c r="A27" s="373"/>
      <c r="B27" s="373">
        <v>60021</v>
      </c>
      <c r="C27" s="282" t="s">
        <v>578</v>
      </c>
      <c r="D27" s="322">
        <f t="shared" si="3"/>
        <v>291550</v>
      </c>
      <c r="E27" s="266">
        <f t="shared" si="4"/>
        <v>291550</v>
      </c>
      <c r="F27" s="266">
        <f t="shared" si="5"/>
        <v>291550</v>
      </c>
      <c r="G27" s="245">
        <v>0</v>
      </c>
      <c r="H27" s="245">
        <v>291550</v>
      </c>
      <c r="I27" s="245">
        <v>0</v>
      </c>
      <c r="J27" s="245">
        <v>0</v>
      </c>
      <c r="K27" s="245">
        <v>0</v>
      </c>
      <c r="L27" s="266">
        <f t="shared" si="6"/>
        <v>0</v>
      </c>
      <c r="M27" s="245">
        <v>0</v>
      </c>
      <c r="N27" s="245">
        <v>0</v>
      </c>
      <c r="O27" s="336"/>
      <c r="Q27" s="350"/>
    </row>
    <row r="28" spans="1:17" s="2" customFormat="1" ht="12" x14ac:dyDescent="0.2">
      <c r="A28" s="373"/>
      <c r="B28" s="373">
        <v>60022</v>
      </c>
      <c r="C28" s="282" t="s">
        <v>579</v>
      </c>
      <c r="D28" s="266">
        <f>SUM(E28,L28)</f>
        <v>100000</v>
      </c>
      <c r="E28" s="266">
        <f>SUM(F28,I28:K28)</f>
        <v>100000</v>
      </c>
      <c r="F28" s="266">
        <f>SUM(G28:H28)</f>
        <v>100000</v>
      </c>
      <c r="G28" s="245">
        <v>0</v>
      </c>
      <c r="H28" s="245">
        <v>100000</v>
      </c>
      <c r="I28" s="245">
        <v>0</v>
      </c>
      <c r="J28" s="245">
        <v>0</v>
      </c>
      <c r="K28" s="245">
        <v>0</v>
      </c>
      <c r="L28" s="266">
        <f>SUM(M28:N28)</f>
        <v>0</v>
      </c>
      <c r="M28" s="245">
        <v>0</v>
      </c>
      <c r="N28" s="245">
        <v>0</v>
      </c>
      <c r="O28" s="336"/>
      <c r="Q28" s="350"/>
    </row>
    <row r="29" spans="1:17" s="2" customFormat="1" ht="12" x14ac:dyDescent="0.2">
      <c r="A29" s="373"/>
      <c r="B29" s="373">
        <v>60095</v>
      </c>
      <c r="C29" s="282" t="s">
        <v>96</v>
      </c>
      <c r="D29" s="266">
        <f t="shared" si="3"/>
        <v>16894561.600000001</v>
      </c>
      <c r="E29" s="266">
        <f t="shared" si="4"/>
        <v>16894561.600000001</v>
      </c>
      <c r="F29" s="266">
        <f t="shared" si="5"/>
        <v>16746561.6</v>
      </c>
      <c r="G29" s="245">
        <v>14626974.5</v>
      </c>
      <c r="H29" s="245">
        <v>2119587.1</v>
      </c>
      <c r="I29" s="245">
        <v>0</v>
      </c>
      <c r="J29" s="245">
        <v>148000</v>
      </c>
      <c r="K29" s="245">
        <v>0</v>
      </c>
      <c r="L29" s="266">
        <f t="shared" si="6"/>
        <v>0</v>
      </c>
      <c r="M29" s="245">
        <v>0</v>
      </c>
      <c r="N29" s="245">
        <v>0</v>
      </c>
      <c r="O29" s="336"/>
      <c r="Q29" s="350"/>
    </row>
    <row r="30" spans="1:17" s="2" customFormat="1" thickBot="1" x14ac:dyDescent="0.25">
      <c r="A30" s="342">
        <v>630</v>
      </c>
      <c r="B30" s="342"/>
      <c r="C30" s="1255" t="s">
        <v>27</v>
      </c>
      <c r="D30" s="355">
        <f>SUM(D31,D32)</f>
        <v>3242815.7600000002</v>
      </c>
      <c r="E30" s="355">
        <f t="shared" ref="E30:N30" si="7">SUM(E31,E32)</f>
        <v>3242815.7600000002</v>
      </c>
      <c r="F30" s="355">
        <f t="shared" si="7"/>
        <v>3187815.7600000002</v>
      </c>
      <c r="G30" s="355">
        <f t="shared" si="7"/>
        <v>2262647.16</v>
      </c>
      <c r="H30" s="355">
        <f t="shared" si="7"/>
        <v>925168.6</v>
      </c>
      <c r="I30" s="355">
        <f t="shared" si="7"/>
        <v>35000</v>
      </c>
      <c r="J30" s="355">
        <f t="shared" si="7"/>
        <v>20000</v>
      </c>
      <c r="K30" s="355">
        <f t="shared" si="7"/>
        <v>0</v>
      </c>
      <c r="L30" s="355">
        <f t="shared" si="7"/>
        <v>0</v>
      </c>
      <c r="M30" s="355">
        <f t="shared" si="7"/>
        <v>0</v>
      </c>
      <c r="N30" s="355">
        <f t="shared" si="7"/>
        <v>0</v>
      </c>
      <c r="O30" s="336"/>
      <c r="Q30" s="350"/>
    </row>
    <row r="31" spans="1:17" s="2" customFormat="1" thickTop="1" x14ac:dyDescent="0.2">
      <c r="A31" s="216"/>
      <c r="B31" s="373">
        <v>63003</v>
      </c>
      <c r="C31" s="282" t="s">
        <v>580</v>
      </c>
      <c r="D31" s="266">
        <f>SUM(E31,L31)</f>
        <v>3168815.7600000002</v>
      </c>
      <c r="E31" s="254">
        <f>SUM(F31,I31:K31)</f>
        <v>3168815.7600000002</v>
      </c>
      <c r="F31" s="254">
        <f>SUM(G31:H31)</f>
        <v>3113815.7600000002</v>
      </c>
      <c r="G31" s="245">
        <v>2258647.16</v>
      </c>
      <c r="H31" s="245">
        <v>855168.6</v>
      </c>
      <c r="I31" s="245">
        <v>35000</v>
      </c>
      <c r="J31" s="245">
        <v>20000</v>
      </c>
      <c r="K31" s="245">
        <v>0</v>
      </c>
      <c r="L31" s="266">
        <f>SUM(M31:N31)</f>
        <v>0</v>
      </c>
      <c r="M31" s="245">
        <v>0</v>
      </c>
      <c r="N31" s="245">
        <v>0</v>
      </c>
      <c r="O31" s="336"/>
      <c r="Q31" s="350"/>
    </row>
    <row r="32" spans="1:17" s="2" customFormat="1" ht="12" x14ac:dyDescent="0.2">
      <c r="A32" s="216"/>
      <c r="B32" s="373">
        <v>63095</v>
      </c>
      <c r="C32" s="282" t="s">
        <v>96</v>
      </c>
      <c r="D32" s="266">
        <f>SUM(E32,L32)</f>
        <v>74000</v>
      </c>
      <c r="E32" s="266">
        <f>SUM(F32,I32:K32)</f>
        <v>74000</v>
      </c>
      <c r="F32" s="266">
        <f>SUM(G32:H32)</f>
        <v>74000</v>
      </c>
      <c r="G32" s="245">
        <v>4000</v>
      </c>
      <c r="H32" s="245">
        <v>70000</v>
      </c>
      <c r="I32" s="245">
        <v>0</v>
      </c>
      <c r="J32" s="245">
        <v>0</v>
      </c>
      <c r="K32" s="245">
        <v>0</v>
      </c>
      <c r="L32" s="266">
        <f>SUM(M32:N32)</f>
        <v>0</v>
      </c>
      <c r="M32" s="245">
        <v>0</v>
      </c>
      <c r="N32" s="245">
        <v>0</v>
      </c>
      <c r="O32" s="336"/>
      <c r="Q32" s="350"/>
    </row>
    <row r="33" spans="1:17" s="2" customFormat="1" thickBot="1" x14ac:dyDescent="0.25">
      <c r="A33" s="342">
        <v>700</v>
      </c>
      <c r="B33" s="342"/>
      <c r="C33" s="1255" t="s">
        <v>29</v>
      </c>
      <c r="D33" s="355">
        <f>SUM(D34,D35,D36,D37)</f>
        <v>132701015.18000001</v>
      </c>
      <c r="E33" s="355">
        <f t="shared" ref="E33:N33" si="8">SUM(E34,E35,E36,E37)</f>
        <v>36100082.520000003</v>
      </c>
      <c r="F33" s="355">
        <f t="shared" si="8"/>
        <v>34527596.510000005</v>
      </c>
      <c r="G33" s="355">
        <f t="shared" si="8"/>
        <v>4232274.66</v>
      </c>
      <c r="H33" s="355">
        <f t="shared" si="8"/>
        <v>30295321.850000001</v>
      </c>
      <c r="I33" s="355">
        <f t="shared" si="8"/>
        <v>0</v>
      </c>
      <c r="J33" s="355">
        <f t="shared" si="8"/>
        <v>88425</v>
      </c>
      <c r="K33" s="355">
        <f t="shared" si="8"/>
        <v>1484061.01</v>
      </c>
      <c r="L33" s="355">
        <f t="shared" si="8"/>
        <v>96600932.659999996</v>
      </c>
      <c r="M33" s="355">
        <f t="shared" si="8"/>
        <v>80294461.909999996</v>
      </c>
      <c r="N33" s="355">
        <f t="shared" si="8"/>
        <v>16306470.75</v>
      </c>
      <c r="O33" s="336"/>
      <c r="Q33" s="350"/>
    </row>
    <row r="34" spans="1:17" s="2" customFormat="1" thickTop="1" x14ac:dyDescent="0.2">
      <c r="A34" s="373"/>
      <c r="B34" s="373">
        <v>70005</v>
      </c>
      <c r="C34" s="282" t="s">
        <v>177</v>
      </c>
      <c r="D34" s="266">
        <f>SUM(E34,L34)</f>
        <v>7239875</v>
      </c>
      <c r="E34" s="254">
        <f>SUM(F34,I34:K34)</f>
        <v>662475</v>
      </c>
      <c r="F34" s="266">
        <f>SUM(G34:H34)</f>
        <v>662475</v>
      </c>
      <c r="G34" s="352">
        <v>0</v>
      </c>
      <c r="H34" s="352">
        <v>662475</v>
      </c>
      <c r="I34" s="352">
        <v>0</v>
      </c>
      <c r="J34" s="245">
        <v>0</v>
      </c>
      <c r="K34" s="245">
        <v>0</v>
      </c>
      <c r="L34" s="266">
        <f>SUM(M34:N34)</f>
        <v>6577400</v>
      </c>
      <c r="M34" s="245">
        <v>6577400</v>
      </c>
      <c r="N34" s="245">
        <v>0</v>
      </c>
      <c r="O34" s="336"/>
      <c r="Q34" s="350"/>
    </row>
    <row r="35" spans="1:17" s="2" customFormat="1" ht="12" x14ac:dyDescent="0.2">
      <c r="A35" s="373"/>
      <c r="B35" s="373">
        <v>70007</v>
      </c>
      <c r="C35" s="282" t="s">
        <v>195</v>
      </c>
      <c r="D35" s="266">
        <f>SUM(E35,L35)</f>
        <v>57188373.400000006</v>
      </c>
      <c r="E35" s="322">
        <f>SUM(F35,I35:K35)</f>
        <v>34918057.520000003</v>
      </c>
      <c r="F35" s="266">
        <f>SUM(G35:H35)</f>
        <v>33471121.510000002</v>
      </c>
      <c r="G35" s="353">
        <v>4232274.66</v>
      </c>
      <c r="H35" s="353">
        <v>29238846.850000001</v>
      </c>
      <c r="I35" s="353">
        <v>0</v>
      </c>
      <c r="J35" s="245">
        <v>10425</v>
      </c>
      <c r="K35" s="245">
        <v>1436511.01</v>
      </c>
      <c r="L35" s="266">
        <f>SUM(M35:N35)</f>
        <v>22270315.879999999</v>
      </c>
      <c r="M35" s="245">
        <v>21154879</v>
      </c>
      <c r="N35" s="245">
        <v>1115436.8799999999</v>
      </c>
      <c r="O35" s="336"/>
      <c r="Q35" s="350"/>
    </row>
    <row r="36" spans="1:17" s="2" customFormat="1" ht="12" x14ac:dyDescent="0.2">
      <c r="A36" s="373"/>
      <c r="B36" s="373">
        <v>70021</v>
      </c>
      <c r="C36" s="282" t="s">
        <v>581</v>
      </c>
      <c r="D36" s="266">
        <f>SUM(E36,L36)</f>
        <v>9000000</v>
      </c>
      <c r="E36" s="266">
        <f>SUM(F36,I36:K36)</f>
        <v>0</v>
      </c>
      <c r="F36" s="266">
        <f>SUM(G36:H36)</f>
        <v>0</v>
      </c>
      <c r="G36" s="245">
        <v>0</v>
      </c>
      <c r="H36" s="245">
        <v>0</v>
      </c>
      <c r="I36" s="245">
        <v>0</v>
      </c>
      <c r="J36" s="245">
        <v>0</v>
      </c>
      <c r="K36" s="245">
        <v>0</v>
      </c>
      <c r="L36" s="266">
        <f>SUM(M36:N36)</f>
        <v>9000000</v>
      </c>
      <c r="M36" s="245">
        <v>0</v>
      </c>
      <c r="N36" s="245">
        <v>9000000</v>
      </c>
      <c r="O36" s="336"/>
      <c r="Q36" s="350"/>
    </row>
    <row r="37" spans="1:17" s="2" customFormat="1" ht="12" x14ac:dyDescent="0.2">
      <c r="A37" s="373"/>
      <c r="B37" s="373">
        <v>70095</v>
      </c>
      <c r="C37" s="282" t="s">
        <v>96</v>
      </c>
      <c r="D37" s="266">
        <f>SUM(E37,L37)</f>
        <v>59272766.779999994</v>
      </c>
      <c r="E37" s="266">
        <f>SUM(F37,I37:K37)</f>
        <v>519550</v>
      </c>
      <c r="F37" s="266">
        <f>SUM(G37:H37)</f>
        <v>394000</v>
      </c>
      <c r="G37" s="245">
        <v>0</v>
      </c>
      <c r="H37" s="245">
        <v>394000</v>
      </c>
      <c r="I37" s="245">
        <v>0</v>
      </c>
      <c r="J37" s="245">
        <v>78000</v>
      </c>
      <c r="K37" s="245">
        <v>47550</v>
      </c>
      <c r="L37" s="266">
        <f>SUM(M37:N37)</f>
        <v>58753216.779999994</v>
      </c>
      <c r="M37" s="245">
        <v>52562182.909999996</v>
      </c>
      <c r="N37" s="245">
        <v>6191033.8700000001</v>
      </c>
      <c r="O37" s="336"/>
      <c r="Q37" s="350"/>
    </row>
    <row r="38" spans="1:17" s="2" customFormat="1" thickBot="1" x14ac:dyDescent="0.25">
      <c r="A38" s="342">
        <v>710</v>
      </c>
      <c r="B38" s="373"/>
      <c r="C38" s="1255" t="s">
        <v>31</v>
      </c>
      <c r="D38" s="355">
        <f>SUM(D39,D40,D42,D43)</f>
        <v>5540100</v>
      </c>
      <c r="E38" s="355">
        <f>SUM(F39:F43)</f>
        <v>4640100</v>
      </c>
      <c r="F38" s="354">
        <f t="shared" ref="F38:K38" si="9">SUM(F39,F40,F42,F43)</f>
        <v>4640100</v>
      </c>
      <c r="G38" s="355">
        <f>SUM(G39,G40,G42,G43)</f>
        <v>18000</v>
      </c>
      <c r="H38" s="355">
        <f t="shared" si="9"/>
        <v>4622100</v>
      </c>
      <c r="I38" s="355">
        <f t="shared" si="9"/>
        <v>0</v>
      </c>
      <c r="J38" s="355">
        <f t="shared" si="9"/>
        <v>0</v>
      </c>
      <c r="K38" s="355">
        <f t="shared" si="9"/>
        <v>0</v>
      </c>
      <c r="L38" s="355">
        <f>SUM(L39,L40,L42,L43)</f>
        <v>900000</v>
      </c>
      <c r="M38" s="355">
        <f>SUM(M39,M40,M42,M43)</f>
        <v>900000</v>
      </c>
      <c r="N38" s="355">
        <f>SUM(N39,N40,N42,N43)</f>
        <v>0</v>
      </c>
      <c r="O38" s="336"/>
      <c r="Q38" s="350"/>
    </row>
    <row r="39" spans="1:17" s="2" customFormat="1" thickTop="1" x14ac:dyDescent="0.2">
      <c r="A39" s="216"/>
      <c r="B39" s="373">
        <v>71012</v>
      </c>
      <c r="C39" s="282" t="s">
        <v>429</v>
      </c>
      <c r="D39" s="266">
        <f>SUM(E39,L39)</f>
        <v>130000</v>
      </c>
      <c r="E39" s="254">
        <f>SUM(F39,I39:K39)</f>
        <v>130000</v>
      </c>
      <c r="F39" s="266">
        <f>SUM(G39:H39)</f>
        <v>130000</v>
      </c>
      <c r="G39" s="245">
        <v>0</v>
      </c>
      <c r="H39" s="245">
        <v>130000</v>
      </c>
      <c r="I39" s="245">
        <v>0</v>
      </c>
      <c r="J39" s="245">
        <v>0</v>
      </c>
      <c r="K39" s="245">
        <v>0</v>
      </c>
      <c r="L39" s="266">
        <f>SUM(M39:N39)</f>
        <v>0</v>
      </c>
      <c r="M39" s="245">
        <v>0</v>
      </c>
      <c r="N39" s="245">
        <v>0</v>
      </c>
      <c r="O39" s="336"/>
    </row>
    <row r="40" spans="1:17" s="2" customFormat="1" ht="12" x14ac:dyDescent="0.2">
      <c r="A40" s="216"/>
      <c r="B40" s="373">
        <v>71035</v>
      </c>
      <c r="C40" s="282" t="s">
        <v>219</v>
      </c>
      <c r="D40" s="266">
        <f>SUM(E40,L40)</f>
        <v>5180600</v>
      </c>
      <c r="E40" s="266">
        <f>SUM(F40,I40:K40)</f>
        <v>4280600</v>
      </c>
      <c r="F40" s="322">
        <f>SUM(G40:H40)</f>
        <v>4280600</v>
      </c>
      <c r="G40" s="245">
        <v>0</v>
      </c>
      <c r="H40" s="245">
        <v>4280600</v>
      </c>
      <c r="I40" s="245">
        <v>0</v>
      </c>
      <c r="J40" s="245">
        <v>0</v>
      </c>
      <c r="K40" s="245">
        <v>0</v>
      </c>
      <c r="L40" s="266">
        <f>SUM(M40:N40)</f>
        <v>900000</v>
      </c>
      <c r="M40" s="245">
        <v>900000</v>
      </c>
      <c r="N40" s="245">
        <v>0</v>
      </c>
      <c r="O40" s="336"/>
    </row>
    <row r="41" spans="1:17" s="2" customFormat="1" ht="12" x14ac:dyDescent="0.2">
      <c r="A41" s="216"/>
      <c r="B41" s="373">
        <v>71035</v>
      </c>
      <c r="C41" s="165" t="s">
        <v>582</v>
      </c>
      <c r="D41" s="256"/>
      <c r="E41" s="256"/>
      <c r="F41" s="246"/>
      <c r="G41" s="247"/>
      <c r="H41" s="247"/>
      <c r="I41" s="356"/>
      <c r="J41" s="356"/>
      <c r="K41" s="356"/>
      <c r="L41" s="357"/>
      <c r="M41" s="356"/>
      <c r="N41" s="356"/>
      <c r="O41" s="336"/>
    </row>
    <row r="42" spans="1:17" s="2" customFormat="1" ht="12" x14ac:dyDescent="0.2">
      <c r="A42" s="216"/>
      <c r="B42" s="373"/>
      <c r="C42" s="1230" t="s">
        <v>583</v>
      </c>
      <c r="D42" s="266">
        <f>SUM(E42,L42)</f>
        <v>40000</v>
      </c>
      <c r="E42" s="266">
        <f>SUM(F42,I42:K42)</f>
        <v>40000</v>
      </c>
      <c r="F42" s="266">
        <f>SUM(G42:H42)</f>
        <v>40000</v>
      </c>
      <c r="G42" s="245">
        <v>0</v>
      </c>
      <c r="H42" s="245">
        <v>40000</v>
      </c>
      <c r="I42" s="245">
        <v>0</v>
      </c>
      <c r="J42" s="245">
        <v>0</v>
      </c>
      <c r="K42" s="245">
        <v>0</v>
      </c>
      <c r="L42" s="266">
        <f>SUM(M42:N42)</f>
        <v>0</v>
      </c>
      <c r="M42" s="245">
        <v>0</v>
      </c>
      <c r="N42" s="245">
        <v>0</v>
      </c>
      <c r="O42" s="336"/>
    </row>
    <row r="43" spans="1:17" s="2" customFormat="1" ht="12" x14ac:dyDescent="0.2">
      <c r="A43" s="373"/>
      <c r="B43" s="373">
        <v>71095</v>
      </c>
      <c r="C43" s="165" t="s">
        <v>96</v>
      </c>
      <c r="D43" s="256">
        <f>SUM(E43,L43)</f>
        <v>189500</v>
      </c>
      <c r="E43" s="256">
        <f>SUM(F43,I43:K43)</f>
        <v>189500</v>
      </c>
      <c r="F43" s="256">
        <f>SUM(G43:H43)</f>
        <v>189500</v>
      </c>
      <c r="G43" s="247">
        <v>18000</v>
      </c>
      <c r="H43" s="247">
        <v>171500</v>
      </c>
      <c r="I43" s="247">
        <v>0</v>
      </c>
      <c r="J43" s="247">
        <v>0</v>
      </c>
      <c r="K43" s="247">
        <v>0</v>
      </c>
      <c r="L43" s="256">
        <f>SUM(M43:N43)</f>
        <v>0</v>
      </c>
      <c r="M43" s="247">
        <v>0</v>
      </c>
      <c r="N43" s="247">
        <v>0</v>
      </c>
      <c r="O43" s="336"/>
    </row>
    <row r="44" spans="1:17" s="2" customFormat="1" thickBot="1" x14ac:dyDescent="0.25">
      <c r="A44" s="342">
        <v>750</v>
      </c>
      <c r="B44" s="342"/>
      <c r="C44" s="1255" t="s">
        <v>584</v>
      </c>
      <c r="D44" s="355">
        <f>SUM(D45:D51)</f>
        <v>88765716.38000001</v>
      </c>
      <c r="E44" s="355">
        <f t="shared" ref="E44:N44" si="10">SUM(E45:E51)</f>
        <v>51356817.530000009</v>
      </c>
      <c r="F44" s="355">
        <f t="shared" si="10"/>
        <v>49735416.970000006</v>
      </c>
      <c r="G44" s="355">
        <f t="shared" si="10"/>
        <v>37302742.060000002</v>
      </c>
      <c r="H44" s="355">
        <f t="shared" si="10"/>
        <v>12432674.91</v>
      </c>
      <c r="I44" s="355">
        <f t="shared" si="10"/>
        <v>200000</v>
      </c>
      <c r="J44" s="355">
        <f t="shared" si="10"/>
        <v>958150</v>
      </c>
      <c r="K44" s="355">
        <f t="shared" si="10"/>
        <v>463250.56</v>
      </c>
      <c r="L44" s="355">
        <f t="shared" si="10"/>
        <v>37408898.850000001</v>
      </c>
      <c r="M44" s="355">
        <f t="shared" si="10"/>
        <v>4046000</v>
      </c>
      <c r="N44" s="355">
        <f t="shared" si="10"/>
        <v>33362898.850000001</v>
      </c>
      <c r="O44" s="336"/>
    </row>
    <row r="45" spans="1:17" s="2" customFormat="1" thickTop="1" x14ac:dyDescent="0.2">
      <c r="A45" s="216"/>
      <c r="B45" s="373">
        <v>75022</v>
      </c>
      <c r="C45" s="282" t="s">
        <v>585</v>
      </c>
      <c r="D45" s="266">
        <f>SUM(E45,L45)</f>
        <v>1583124</v>
      </c>
      <c r="E45" s="266">
        <f>SUM(F45,I45:K45)</f>
        <v>1583124</v>
      </c>
      <c r="F45" s="266">
        <f>SUM(G45:H45)</f>
        <v>677824</v>
      </c>
      <c r="G45" s="245">
        <v>0</v>
      </c>
      <c r="H45" s="245">
        <v>677824</v>
      </c>
      <c r="I45" s="245">
        <v>0</v>
      </c>
      <c r="J45" s="245">
        <v>905300</v>
      </c>
      <c r="K45" s="245">
        <v>0</v>
      </c>
      <c r="L45" s="266">
        <f>SUM(M45:N45)</f>
        <v>0</v>
      </c>
      <c r="M45" s="245">
        <v>0</v>
      </c>
      <c r="N45" s="245">
        <v>0</v>
      </c>
      <c r="O45" s="336"/>
    </row>
    <row r="46" spans="1:17" s="2" customFormat="1" ht="12" x14ac:dyDescent="0.2">
      <c r="A46" s="835"/>
      <c r="B46" s="835">
        <v>75023</v>
      </c>
      <c r="C46" s="282" t="s">
        <v>228</v>
      </c>
      <c r="D46" s="266">
        <f>SUM(E46,L46)</f>
        <v>44076594.230000004</v>
      </c>
      <c r="E46" s="266">
        <f>SUM(F46,I46:K46)</f>
        <v>41840346.230000004</v>
      </c>
      <c r="F46" s="266">
        <f>SUM(G46:H46)</f>
        <v>41496087.230000004</v>
      </c>
      <c r="G46" s="245">
        <v>33345209.760000002</v>
      </c>
      <c r="H46" s="245">
        <v>8150877.4699999997</v>
      </c>
      <c r="I46" s="245">
        <v>0</v>
      </c>
      <c r="J46" s="245">
        <v>45000</v>
      </c>
      <c r="K46" s="245">
        <v>299259</v>
      </c>
      <c r="L46" s="266">
        <f>SUM(M46:N46)</f>
        <v>2236248</v>
      </c>
      <c r="M46" s="245">
        <v>746000</v>
      </c>
      <c r="N46" s="245">
        <v>1490248</v>
      </c>
      <c r="O46" s="336"/>
    </row>
    <row r="47" spans="1:17" s="2" customFormat="1" ht="12" x14ac:dyDescent="0.2">
      <c r="A47" s="1239"/>
      <c r="B47" s="1239">
        <v>75058</v>
      </c>
      <c r="C47" s="1238" t="s">
        <v>586</v>
      </c>
      <c r="D47" s="246"/>
      <c r="E47" s="246"/>
      <c r="F47" s="358"/>
      <c r="G47" s="358"/>
      <c r="H47" s="358"/>
      <c r="I47" s="358"/>
      <c r="J47" s="358"/>
      <c r="K47" s="358"/>
      <c r="L47" s="358"/>
      <c r="M47" s="358"/>
      <c r="N47" s="358"/>
      <c r="O47" s="336"/>
    </row>
    <row r="48" spans="1:17" s="2" customFormat="1" ht="12" x14ac:dyDescent="0.2">
      <c r="A48" s="373"/>
      <c r="B48" s="216"/>
      <c r="C48" s="282" t="s">
        <v>587</v>
      </c>
      <c r="D48" s="266">
        <f>SUM(E48,L48)</f>
        <v>73161.63</v>
      </c>
      <c r="E48" s="266">
        <f>SUM(F48,I48:K48)</f>
        <v>73161.63</v>
      </c>
      <c r="F48" s="266">
        <f>SUM(G48:H48)</f>
        <v>73161.63</v>
      </c>
      <c r="G48" s="245">
        <v>0</v>
      </c>
      <c r="H48" s="245">
        <v>73161.63</v>
      </c>
      <c r="I48" s="245">
        <v>0</v>
      </c>
      <c r="J48" s="245">
        <v>0</v>
      </c>
      <c r="K48" s="245">
        <v>0</v>
      </c>
      <c r="L48" s="266">
        <f>SUM(M48:N48)</f>
        <v>0</v>
      </c>
      <c r="M48" s="245">
        <v>0</v>
      </c>
      <c r="N48" s="245">
        <v>0</v>
      </c>
      <c r="O48" s="336"/>
    </row>
    <row r="49" spans="1:15" s="2" customFormat="1" ht="12" x14ac:dyDescent="0.2">
      <c r="A49" s="373"/>
      <c r="B49" s="373">
        <v>75075</v>
      </c>
      <c r="C49" s="282" t="s">
        <v>588</v>
      </c>
      <c r="D49" s="266">
        <f>SUM(E49,L49)</f>
        <v>1047256.24</v>
      </c>
      <c r="E49" s="322">
        <f>SUM(F49,I49:K49)</f>
        <v>1047256.24</v>
      </c>
      <c r="F49" s="322">
        <f>SUM(G49:H49)</f>
        <v>1044256.24</v>
      </c>
      <c r="G49" s="245">
        <v>13850</v>
      </c>
      <c r="H49" s="245">
        <v>1030406.24</v>
      </c>
      <c r="I49" s="245">
        <v>0</v>
      </c>
      <c r="J49" s="245">
        <v>3000</v>
      </c>
      <c r="K49" s="245">
        <v>0</v>
      </c>
      <c r="L49" s="266">
        <f>SUM(M49:N49)</f>
        <v>0</v>
      </c>
      <c r="M49" s="245">
        <v>0</v>
      </c>
      <c r="N49" s="245">
        <v>0</v>
      </c>
      <c r="O49" s="336"/>
    </row>
    <row r="50" spans="1:15" s="2" customFormat="1" ht="12" x14ac:dyDescent="0.2">
      <c r="A50" s="373"/>
      <c r="B50" s="373">
        <v>75085</v>
      </c>
      <c r="C50" s="282" t="s">
        <v>589</v>
      </c>
      <c r="D50" s="322">
        <f>SUM(E50,L50)</f>
        <v>4859550</v>
      </c>
      <c r="E50" s="322">
        <f>SUM(F50,I50:K50)</f>
        <v>4859550</v>
      </c>
      <c r="F50" s="322">
        <f>SUM(G50:H50)</f>
        <v>4854700</v>
      </c>
      <c r="G50" s="353">
        <v>3934098</v>
      </c>
      <c r="H50" s="353">
        <v>920602</v>
      </c>
      <c r="I50" s="353">
        <v>0</v>
      </c>
      <c r="J50" s="353">
        <v>4850</v>
      </c>
      <c r="K50" s="353">
        <v>0</v>
      </c>
      <c r="L50" s="322">
        <f>SUM(M50:N50)</f>
        <v>0</v>
      </c>
      <c r="M50" s="353">
        <v>0</v>
      </c>
      <c r="N50" s="353">
        <v>0</v>
      </c>
      <c r="O50" s="336"/>
    </row>
    <row r="51" spans="1:15" s="2" customFormat="1" ht="12" x14ac:dyDescent="0.2">
      <c r="A51" s="373"/>
      <c r="B51" s="373">
        <v>75095</v>
      </c>
      <c r="C51" s="1256" t="s">
        <v>96</v>
      </c>
      <c r="D51" s="322">
        <f>SUM(E51,L51)</f>
        <v>37126030.280000001</v>
      </c>
      <c r="E51" s="322">
        <f>SUM(F51,I51:K51)</f>
        <v>1953379.4300000002</v>
      </c>
      <c r="F51" s="322">
        <f>SUM(G51:H51)</f>
        <v>1589387.87</v>
      </c>
      <c r="G51" s="353">
        <v>9584.2999999999993</v>
      </c>
      <c r="H51" s="353">
        <v>1579803.57</v>
      </c>
      <c r="I51" s="353">
        <v>200000</v>
      </c>
      <c r="J51" s="353">
        <v>0</v>
      </c>
      <c r="K51" s="353">
        <v>163991.56</v>
      </c>
      <c r="L51" s="322">
        <f>SUM(M51:N51)</f>
        <v>35172650.850000001</v>
      </c>
      <c r="M51" s="353">
        <v>3300000</v>
      </c>
      <c r="N51" s="353">
        <v>31872650.850000001</v>
      </c>
      <c r="O51" s="336"/>
    </row>
    <row r="52" spans="1:15" s="2" customFormat="1" ht="12" x14ac:dyDescent="0.2">
      <c r="A52" s="342">
        <v>754</v>
      </c>
      <c r="B52" s="373"/>
      <c r="C52" s="363" t="s">
        <v>244</v>
      </c>
      <c r="D52" s="1257"/>
      <c r="E52" s="1257"/>
      <c r="F52" s="359"/>
      <c r="G52" s="359"/>
      <c r="H52" s="359"/>
      <c r="I52" s="359"/>
      <c r="J52" s="359"/>
      <c r="K52" s="359"/>
      <c r="L52" s="359"/>
      <c r="M52" s="359"/>
      <c r="N52" s="359"/>
      <c r="O52" s="336"/>
    </row>
    <row r="53" spans="1:15" s="2" customFormat="1" thickBot="1" x14ac:dyDescent="0.25">
      <c r="A53" s="216"/>
      <c r="B53" s="373"/>
      <c r="C53" s="1255" t="s">
        <v>41</v>
      </c>
      <c r="D53" s="355">
        <f>SUM(D54:D56)</f>
        <v>7768399.3200000003</v>
      </c>
      <c r="E53" s="355">
        <f t="shared" ref="E53:N53" si="11">SUM(E54:E56)</f>
        <v>7642399.3200000003</v>
      </c>
      <c r="F53" s="355">
        <f t="shared" si="11"/>
        <v>7529345.3200000003</v>
      </c>
      <c r="G53" s="355">
        <f t="shared" si="11"/>
        <v>6504152.3200000003</v>
      </c>
      <c r="H53" s="355">
        <f t="shared" si="11"/>
        <v>1025193</v>
      </c>
      <c r="I53" s="355">
        <f t="shared" si="11"/>
        <v>0</v>
      </c>
      <c r="J53" s="355">
        <f t="shared" si="11"/>
        <v>113054</v>
      </c>
      <c r="K53" s="355">
        <f t="shared" si="11"/>
        <v>0</v>
      </c>
      <c r="L53" s="355">
        <f t="shared" si="11"/>
        <v>126000</v>
      </c>
      <c r="M53" s="355">
        <f t="shared" si="11"/>
        <v>126000</v>
      </c>
      <c r="N53" s="355">
        <f t="shared" si="11"/>
        <v>0</v>
      </c>
      <c r="O53" s="336"/>
    </row>
    <row r="54" spans="1:15" s="2" customFormat="1" thickTop="1" x14ac:dyDescent="0.2">
      <c r="A54" s="373"/>
      <c r="B54" s="373">
        <v>75414</v>
      </c>
      <c r="C54" s="282" t="s">
        <v>590</v>
      </c>
      <c r="D54" s="266">
        <f>SUM(E54,L54)</f>
        <v>148500</v>
      </c>
      <c r="E54" s="266">
        <f>SUM(F54,I54:K54)</f>
        <v>58500</v>
      </c>
      <c r="F54" s="322">
        <f>SUM(G54:H54)</f>
        <v>58500</v>
      </c>
      <c r="G54" s="245">
        <v>0</v>
      </c>
      <c r="H54" s="245">
        <v>58500</v>
      </c>
      <c r="I54" s="245">
        <v>0</v>
      </c>
      <c r="J54" s="245">
        <v>0</v>
      </c>
      <c r="K54" s="245">
        <v>0</v>
      </c>
      <c r="L54" s="266">
        <f>SUM(M54:N54)</f>
        <v>90000</v>
      </c>
      <c r="M54" s="245">
        <v>90000</v>
      </c>
      <c r="N54" s="245">
        <v>0</v>
      </c>
      <c r="O54" s="336"/>
    </row>
    <row r="55" spans="1:15" s="2" customFormat="1" ht="12" x14ac:dyDescent="0.2">
      <c r="A55" s="373"/>
      <c r="B55" s="373">
        <v>75416</v>
      </c>
      <c r="C55" s="282" t="s">
        <v>246</v>
      </c>
      <c r="D55" s="266">
        <f>SUM(E55,L55)</f>
        <v>7605699.3200000003</v>
      </c>
      <c r="E55" s="266">
        <f>SUM(F55,I55:K55)</f>
        <v>7569699.3200000003</v>
      </c>
      <c r="F55" s="322">
        <f>SUM(G55:H55)</f>
        <v>7456645.3200000003</v>
      </c>
      <c r="G55" s="245">
        <v>6504152.3200000003</v>
      </c>
      <c r="H55" s="245">
        <v>952493</v>
      </c>
      <c r="I55" s="245">
        <v>0</v>
      </c>
      <c r="J55" s="245">
        <v>113054</v>
      </c>
      <c r="K55" s="245">
        <v>0</v>
      </c>
      <c r="L55" s="266">
        <f>SUM(M55:N55)</f>
        <v>36000</v>
      </c>
      <c r="M55" s="245">
        <v>36000</v>
      </c>
      <c r="N55" s="245">
        <v>0</v>
      </c>
      <c r="O55" s="336"/>
    </row>
    <row r="56" spans="1:15" s="2" customFormat="1" ht="12" x14ac:dyDescent="0.2">
      <c r="A56" s="373"/>
      <c r="B56" s="373">
        <v>75421</v>
      </c>
      <c r="C56" s="282" t="s">
        <v>591</v>
      </c>
      <c r="D56" s="266">
        <f>SUM(E56,L56)</f>
        <v>14200</v>
      </c>
      <c r="E56" s="266">
        <f>SUM(F56,I56:K56)</f>
        <v>14200</v>
      </c>
      <c r="F56" s="322">
        <f>SUM(G56:H56)</f>
        <v>14200</v>
      </c>
      <c r="G56" s="245">
        <v>0</v>
      </c>
      <c r="H56" s="245">
        <v>14200</v>
      </c>
      <c r="I56" s="245">
        <v>0</v>
      </c>
      <c r="J56" s="245">
        <v>0</v>
      </c>
      <c r="K56" s="245">
        <v>0</v>
      </c>
      <c r="L56" s="266">
        <f>SUM(M56:N56)</f>
        <v>0</v>
      </c>
      <c r="M56" s="245">
        <v>0</v>
      </c>
      <c r="N56" s="245">
        <v>0</v>
      </c>
      <c r="O56" s="336"/>
    </row>
    <row r="57" spans="1:15" s="2" customFormat="1" thickBot="1" x14ac:dyDescent="0.25">
      <c r="A57" s="342">
        <v>757</v>
      </c>
      <c r="B57" s="373"/>
      <c r="C57" s="1255" t="s">
        <v>47</v>
      </c>
      <c r="D57" s="227">
        <f t="shared" ref="D57:N57" si="12">SUM(D61:D61)</f>
        <v>34641419.719999999</v>
      </c>
      <c r="E57" s="227">
        <f t="shared" si="12"/>
        <v>34641419.719999999</v>
      </c>
      <c r="F57" s="227">
        <f t="shared" si="12"/>
        <v>34641419.719999999</v>
      </c>
      <c r="G57" s="227">
        <f t="shared" si="12"/>
        <v>0</v>
      </c>
      <c r="H57" s="227">
        <f t="shared" si="12"/>
        <v>34641419.719999999</v>
      </c>
      <c r="I57" s="227">
        <f t="shared" si="12"/>
        <v>0</v>
      </c>
      <c r="J57" s="227">
        <f t="shared" si="12"/>
        <v>0</v>
      </c>
      <c r="K57" s="227">
        <f t="shared" si="12"/>
        <v>0</v>
      </c>
      <c r="L57" s="227">
        <f t="shared" si="12"/>
        <v>0</v>
      </c>
      <c r="M57" s="227">
        <f t="shared" si="12"/>
        <v>0</v>
      </c>
      <c r="N57" s="227">
        <f t="shared" si="12"/>
        <v>0</v>
      </c>
      <c r="O57" s="336"/>
    </row>
    <row r="58" spans="1:15" s="2" customFormat="1" thickTop="1" x14ac:dyDescent="0.2">
      <c r="A58" s="373"/>
      <c r="B58" s="373">
        <v>75702</v>
      </c>
      <c r="C58" s="165" t="s">
        <v>592</v>
      </c>
      <c r="D58" s="256"/>
      <c r="E58" s="1258"/>
      <c r="F58" s="360"/>
      <c r="G58" s="357"/>
      <c r="H58" s="357"/>
      <c r="I58" s="357"/>
      <c r="J58" s="357"/>
      <c r="K58" s="357"/>
      <c r="L58" s="357"/>
      <c r="M58" s="357"/>
      <c r="N58" s="357"/>
      <c r="O58" s="336"/>
    </row>
    <row r="59" spans="1:15" s="2" customFormat="1" ht="12" x14ac:dyDescent="0.2">
      <c r="A59" s="373"/>
      <c r="B59" s="373"/>
      <c r="C59" s="165" t="s">
        <v>593</v>
      </c>
      <c r="D59" s="256"/>
      <c r="E59" s="256"/>
      <c r="F59" s="357"/>
      <c r="G59" s="357"/>
      <c r="H59" s="357"/>
      <c r="I59" s="357"/>
      <c r="J59" s="357"/>
      <c r="K59" s="357"/>
      <c r="L59" s="357"/>
      <c r="M59" s="357"/>
      <c r="N59" s="357"/>
      <c r="O59" s="336"/>
    </row>
    <row r="60" spans="1:15" s="2" customFormat="1" ht="12" x14ac:dyDescent="0.2">
      <c r="A60" s="373"/>
      <c r="B60" s="373"/>
      <c r="C60" s="165" t="s">
        <v>594</v>
      </c>
      <c r="D60" s="256"/>
      <c r="E60" s="256"/>
      <c r="F60" s="357"/>
      <c r="G60" s="357"/>
      <c r="H60" s="256"/>
      <c r="I60" s="256"/>
      <c r="J60" s="256"/>
      <c r="K60" s="256"/>
      <c r="L60" s="256"/>
      <c r="M60" s="256"/>
      <c r="N60" s="256"/>
      <c r="O60" s="336"/>
    </row>
    <row r="61" spans="1:15" s="2" customFormat="1" ht="12" x14ac:dyDescent="0.2">
      <c r="A61" s="216"/>
      <c r="B61" s="373"/>
      <c r="C61" s="282" t="s">
        <v>595</v>
      </c>
      <c r="D61" s="266">
        <f>SUM(E61,L61)</f>
        <v>34641419.719999999</v>
      </c>
      <c r="E61" s="266">
        <f>SUM(F61,I61:K61)</f>
        <v>34641419.719999999</v>
      </c>
      <c r="F61" s="266">
        <f>SUM(G61:H61)</f>
        <v>34641419.719999999</v>
      </c>
      <c r="G61" s="245">
        <v>0</v>
      </c>
      <c r="H61" s="245">
        <v>34641419.719999999</v>
      </c>
      <c r="I61" s="245">
        <v>0</v>
      </c>
      <c r="J61" s="245">
        <v>0</v>
      </c>
      <c r="K61" s="245">
        <v>0</v>
      </c>
      <c r="L61" s="266">
        <f>SUM(M61:N61)</f>
        <v>0</v>
      </c>
      <c r="M61" s="245">
        <v>0</v>
      </c>
      <c r="N61" s="245">
        <v>0</v>
      </c>
      <c r="O61" s="336"/>
    </row>
    <row r="62" spans="1:15" s="2" customFormat="1" thickBot="1" x14ac:dyDescent="0.25">
      <c r="A62" s="342">
        <v>758</v>
      </c>
      <c r="B62" s="373"/>
      <c r="C62" s="1255" t="s">
        <v>596</v>
      </c>
      <c r="D62" s="227">
        <f>SUM(D63)</f>
        <v>57550000</v>
      </c>
      <c r="E62" s="227">
        <f t="shared" ref="E62:N62" si="13">SUM(E63)</f>
        <v>53000000</v>
      </c>
      <c r="F62" s="227">
        <f t="shared" si="13"/>
        <v>53000000</v>
      </c>
      <c r="G62" s="227">
        <f t="shared" si="13"/>
        <v>0</v>
      </c>
      <c r="H62" s="227">
        <f t="shared" si="13"/>
        <v>53000000</v>
      </c>
      <c r="I62" s="227">
        <f t="shared" si="13"/>
        <v>0</v>
      </c>
      <c r="J62" s="227">
        <f t="shared" si="13"/>
        <v>0</v>
      </c>
      <c r="K62" s="227">
        <f t="shared" si="13"/>
        <v>0</v>
      </c>
      <c r="L62" s="227">
        <f t="shared" si="13"/>
        <v>4550000</v>
      </c>
      <c r="M62" s="227">
        <f t="shared" si="13"/>
        <v>4550000</v>
      </c>
      <c r="N62" s="227">
        <f t="shared" si="13"/>
        <v>0</v>
      </c>
      <c r="O62" s="336"/>
    </row>
    <row r="63" spans="1:15" s="2" customFormat="1" thickTop="1" x14ac:dyDescent="0.2">
      <c r="A63" s="216"/>
      <c r="B63" s="373">
        <v>75818</v>
      </c>
      <c r="C63" s="282" t="s">
        <v>597</v>
      </c>
      <c r="D63" s="266">
        <f>SUM(E63,L63)</f>
        <v>57550000</v>
      </c>
      <c r="E63" s="254">
        <f>SUM(F63,I63:K63)</f>
        <v>53000000</v>
      </c>
      <c r="F63" s="322">
        <f>SUM(G63:H63)</f>
        <v>53000000</v>
      </c>
      <c r="G63" s="245">
        <v>0</v>
      </c>
      <c r="H63" s="245">
        <v>53000000</v>
      </c>
      <c r="I63" s="245">
        <v>0</v>
      </c>
      <c r="J63" s="245">
        <v>0</v>
      </c>
      <c r="K63" s="245">
        <v>0</v>
      </c>
      <c r="L63" s="266">
        <f>SUM(M63:N63)</f>
        <v>4550000</v>
      </c>
      <c r="M63" s="245">
        <v>4550000</v>
      </c>
      <c r="N63" s="245">
        <v>0</v>
      </c>
      <c r="O63" s="336"/>
    </row>
    <row r="64" spans="1:15" s="2" customFormat="1" thickBot="1" x14ac:dyDescent="0.25">
      <c r="A64" s="342">
        <v>801</v>
      </c>
      <c r="B64" s="342"/>
      <c r="C64" s="1255" t="s">
        <v>51</v>
      </c>
      <c r="D64" s="355">
        <f t="shared" ref="D64:N64" si="14">SUM(D65:D82)</f>
        <v>235034011.74999997</v>
      </c>
      <c r="E64" s="355">
        <f t="shared" si="14"/>
        <v>225464011.74999997</v>
      </c>
      <c r="F64" s="355">
        <f t="shared" si="14"/>
        <v>191181902.77999997</v>
      </c>
      <c r="G64" s="355">
        <f t="shared" si="14"/>
        <v>164954076.80000001</v>
      </c>
      <c r="H64" s="355">
        <f t="shared" si="14"/>
        <v>26227825.979999993</v>
      </c>
      <c r="I64" s="355">
        <f t="shared" si="14"/>
        <v>33417109.09</v>
      </c>
      <c r="J64" s="355">
        <f t="shared" si="14"/>
        <v>403293</v>
      </c>
      <c r="K64" s="355">
        <f t="shared" si="14"/>
        <v>461706.88</v>
      </c>
      <c r="L64" s="355">
        <f t="shared" si="14"/>
        <v>9570000</v>
      </c>
      <c r="M64" s="355">
        <f t="shared" si="14"/>
        <v>9570000</v>
      </c>
      <c r="N64" s="355">
        <f t="shared" si="14"/>
        <v>0</v>
      </c>
      <c r="O64" s="336"/>
    </row>
    <row r="65" spans="1:15" s="2" customFormat="1" thickTop="1" x14ac:dyDescent="0.2">
      <c r="A65" s="216"/>
      <c r="B65" s="373">
        <v>80101</v>
      </c>
      <c r="C65" s="282" t="s">
        <v>313</v>
      </c>
      <c r="D65" s="266">
        <f t="shared" ref="D65:D71" si="15">SUM(E65,L65)</f>
        <v>125004069.24000001</v>
      </c>
      <c r="E65" s="266">
        <f t="shared" ref="E65:E71" si="16">SUM(F65,I65:K65)</f>
        <v>119434069.24000001</v>
      </c>
      <c r="F65" s="322">
        <f t="shared" ref="F65:F71" si="17">SUM(G65:H65)</f>
        <v>105885808.88000001</v>
      </c>
      <c r="G65" s="245">
        <v>91551182.180000007</v>
      </c>
      <c r="H65" s="245">
        <v>14334626.699999999</v>
      </c>
      <c r="I65" s="245">
        <v>13332584.359999999</v>
      </c>
      <c r="J65" s="245">
        <v>215676</v>
      </c>
      <c r="K65" s="245">
        <v>0</v>
      </c>
      <c r="L65" s="266">
        <f t="shared" ref="L65:L71" si="18">SUM(M65:N65)</f>
        <v>5570000</v>
      </c>
      <c r="M65" s="245">
        <v>5570000</v>
      </c>
      <c r="N65" s="245">
        <v>0</v>
      </c>
      <c r="O65" s="336"/>
    </row>
    <row r="66" spans="1:15" s="2" customFormat="1" ht="12" x14ac:dyDescent="0.2">
      <c r="A66" s="373"/>
      <c r="B66" s="216" t="s">
        <v>598</v>
      </c>
      <c r="C66" s="282" t="s">
        <v>599</v>
      </c>
      <c r="D66" s="266">
        <f t="shared" si="15"/>
        <v>587322.19999999995</v>
      </c>
      <c r="E66" s="322">
        <f t="shared" si="16"/>
        <v>587322.19999999995</v>
      </c>
      <c r="F66" s="322">
        <f t="shared" si="17"/>
        <v>381943</v>
      </c>
      <c r="G66" s="245">
        <v>295260</v>
      </c>
      <c r="H66" s="245">
        <v>86683</v>
      </c>
      <c r="I66" s="245">
        <v>198379.2</v>
      </c>
      <c r="J66" s="245">
        <v>7000</v>
      </c>
      <c r="K66" s="245">
        <v>0</v>
      </c>
      <c r="L66" s="266">
        <f t="shared" si="18"/>
        <v>0</v>
      </c>
      <c r="M66" s="245">
        <v>0</v>
      </c>
      <c r="N66" s="245">
        <v>0</v>
      </c>
      <c r="O66" s="336"/>
    </row>
    <row r="67" spans="1:15" s="2" customFormat="1" ht="12" x14ac:dyDescent="0.2">
      <c r="A67" s="373"/>
      <c r="B67" s="216" t="s">
        <v>314</v>
      </c>
      <c r="C67" s="282" t="s">
        <v>315</v>
      </c>
      <c r="D67" s="266">
        <f t="shared" si="15"/>
        <v>59193149.730000004</v>
      </c>
      <c r="E67" s="322">
        <f t="shared" si="16"/>
        <v>59193149.730000004</v>
      </c>
      <c r="F67" s="322">
        <f t="shared" si="17"/>
        <v>45533327.730000004</v>
      </c>
      <c r="G67" s="245">
        <v>39007811.420000002</v>
      </c>
      <c r="H67" s="245">
        <v>6525516.3099999996</v>
      </c>
      <c r="I67" s="245">
        <v>13575820</v>
      </c>
      <c r="J67" s="245">
        <v>84002</v>
      </c>
      <c r="K67" s="245">
        <v>0</v>
      </c>
      <c r="L67" s="266">
        <f t="shared" si="18"/>
        <v>0</v>
      </c>
      <c r="M67" s="245">
        <v>0</v>
      </c>
      <c r="N67" s="245">
        <v>0</v>
      </c>
      <c r="O67" s="336"/>
    </row>
    <row r="68" spans="1:15" s="2" customFormat="1" ht="12" x14ac:dyDescent="0.2">
      <c r="A68" s="373"/>
      <c r="B68" s="216" t="s">
        <v>600</v>
      </c>
      <c r="C68" s="282" t="s">
        <v>601</v>
      </c>
      <c r="D68" s="266">
        <f t="shared" si="15"/>
        <v>1585296.26</v>
      </c>
      <c r="E68" s="322">
        <f t="shared" si="16"/>
        <v>1585296.26</v>
      </c>
      <c r="F68" s="322">
        <f t="shared" si="17"/>
        <v>1579696.26</v>
      </c>
      <c r="G68" s="245">
        <v>1467779.26</v>
      </c>
      <c r="H68" s="245">
        <v>111917</v>
      </c>
      <c r="I68" s="245">
        <v>0</v>
      </c>
      <c r="J68" s="245">
        <v>5600</v>
      </c>
      <c r="K68" s="245">
        <v>0</v>
      </c>
      <c r="L68" s="266">
        <f t="shared" si="18"/>
        <v>0</v>
      </c>
      <c r="M68" s="245">
        <v>0</v>
      </c>
      <c r="N68" s="245">
        <v>0</v>
      </c>
      <c r="O68" s="336"/>
    </row>
    <row r="69" spans="1:15" s="2" customFormat="1" ht="12" x14ac:dyDescent="0.2">
      <c r="A69" s="373"/>
      <c r="B69" s="216" t="s">
        <v>602</v>
      </c>
      <c r="C69" s="282" t="s">
        <v>603</v>
      </c>
      <c r="D69" s="266">
        <f>SUM(E69,L69)</f>
        <v>158564</v>
      </c>
      <c r="E69" s="322">
        <f>SUM(F69,I69:K69)</f>
        <v>158564</v>
      </c>
      <c r="F69" s="322">
        <f t="shared" si="17"/>
        <v>0</v>
      </c>
      <c r="G69" s="245">
        <v>0</v>
      </c>
      <c r="H69" s="245">
        <v>0</v>
      </c>
      <c r="I69" s="245">
        <v>158564</v>
      </c>
      <c r="J69" s="245">
        <v>0</v>
      </c>
      <c r="K69" s="245">
        <v>0</v>
      </c>
      <c r="L69" s="266">
        <f>SUM(M69:N69)</f>
        <v>0</v>
      </c>
      <c r="M69" s="245">
        <v>0</v>
      </c>
      <c r="N69" s="245">
        <v>0</v>
      </c>
      <c r="O69" s="336"/>
    </row>
    <row r="70" spans="1:15" s="2" customFormat="1" ht="12" x14ac:dyDescent="0.2">
      <c r="A70" s="373"/>
      <c r="B70" s="373">
        <v>80107</v>
      </c>
      <c r="C70" s="282" t="s">
        <v>604</v>
      </c>
      <c r="D70" s="266">
        <f>SUM(E70,L70)</f>
        <v>7533640</v>
      </c>
      <c r="E70" s="322">
        <f>SUM(F70,I70:K70)</f>
        <v>7533640</v>
      </c>
      <c r="F70" s="322">
        <f>SUM(G70:H70)</f>
        <v>7532015</v>
      </c>
      <c r="G70" s="245">
        <v>7126928</v>
      </c>
      <c r="H70" s="245">
        <v>405087</v>
      </c>
      <c r="I70" s="245">
        <v>0</v>
      </c>
      <c r="J70" s="245">
        <v>1625</v>
      </c>
      <c r="K70" s="245">
        <v>0</v>
      </c>
      <c r="L70" s="266">
        <f>SUM(M70:N70)</f>
        <v>0</v>
      </c>
      <c r="M70" s="245">
        <v>0</v>
      </c>
      <c r="N70" s="245">
        <v>0</v>
      </c>
      <c r="O70" s="336"/>
    </row>
    <row r="71" spans="1:15" s="2" customFormat="1" ht="12" x14ac:dyDescent="0.2">
      <c r="A71" s="373"/>
      <c r="B71" s="373">
        <v>80113</v>
      </c>
      <c r="C71" s="282" t="s">
        <v>605</v>
      </c>
      <c r="D71" s="266">
        <f t="shared" si="15"/>
        <v>792333</v>
      </c>
      <c r="E71" s="322">
        <f t="shared" si="16"/>
        <v>792333</v>
      </c>
      <c r="F71" s="322">
        <f t="shared" si="17"/>
        <v>790313</v>
      </c>
      <c r="G71" s="245">
        <v>205856</v>
      </c>
      <c r="H71" s="245">
        <v>584457</v>
      </c>
      <c r="I71" s="245">
        <v>0</v>
      </c>
      <c r="J71" s="245">
        <v>2020</v>
      </c>
      <c r="K71" s="245">
        <v>0</v>
      </c>
      <c r="L71" s="266">
        <f t="shared" si="18"/>
        <v>0</v>
      </c>
      <c r="M71" s="245">
        <v>0</v>
      </c>
      <c r="N71" s="245">
        <v>0</v>
      </c>
      <c r="O71" s="336"/>
    </row>
    <row r="72" spans="1:15" s="2" customFormat="1" ht="12" x14ac:dyDescent="0.2">
      <c r="A72" s="373"/>
      <c r="B72" s="373">
        <v>80146</v>
      </c>
      <c r="C72" s="282" t="s">
        <v>458</v>
      </c>
      <c r="D72" s="266">
        <f>SUM(E72,L72)</f>
        <v>248451.20000000001</v>
      </c>
      <c r="E72" s="322">
        <f>SUM(F72,I72:K72)</f>
        <v>248451.20000000001</v>
      </c>
      <c r="F72" s="322">
        <f>SUM(G72:H72)</f>
        <v>248451.20000000001</v>
      </c>
      <c r="G72" s="245">
        <v>0</v>
      </c>
      <c r="H72" s="245">
        <v>248451.20000000001</v>
      </c>
      <c r="I72" s="245">
        <v>0</v>
      </c>
      <c r="J72" s="245">
        <v>0</v>
      </c>
      <c r="K72" s="245">
        <v>0</v>
      </c>
      <c r="L72" s="266">
        <f>SUM(M72:N72)</f>
        <v>0</v>
      </c>
      <c r="M72" s="245">
        <v>0</v>
      </c>
      <c r="N72" s="245">
        <v>0</v>
      </c>
      <c r="O72" s="336"/>
    </row>
    <row r="73" spans="1:15" s="2" customFormat="1" ht="12" x14ac:dyDescent="0.2">
      <c r="A73" s="373"/>
      <c r="B73" s="373">
        <v>80148</v>
      </c>
      <c r="C73" s="1256" t="s">
        <v>606</v>
      </c>
      <c r="D73" s="322">
        <f>SUM(E73,L73)</f>
        <v>5179952</v>
      </c>
      <c r="E73" s="322">
        <f>SUM(F73,I73:K73)</f>
        <v>5179952</v>
      </c>
      <c r="F73" s="322">
        <f>SUM(G73:H73)</f>
        <v>5168097</v>
      </c>
      <c r="G73" s="353">
        <v>4700722</v>
      </c>
      <c r="H73" s="353">
        <v>467375</v>
      </c>
      <c r="I73" s="353">
        <v>0</v>
      </c>
      <c r="J73" s="353">
        <v>11855</v>
      </c>
      <c r="K73" s="353">
        <v>0</v>
      </c>
      <c r="L73" s="322">
        <f>SUM(M73:N73)</f>
        <v>0</v>
      </c>
      <c r="M73" s="353">
        <v>0</v>
      </c>
      <c r="N73" s="353">
        <v>0</v>
      </c>
      <c r="O73" s="336"/>
    </row>
    <row r="74" spans="1:15" s="33" customFormat="1" ht="11.25" x14ac:dyDescent="0.2">
      <c r="A74" s="373"/>
      <c r="B74" s="373">
        <v>80149</v>
      </c>
      <c r="C74" s="371" t="s">
        <v>607</v>
      </c>
      <c r="D74" s="256"/>
      <c r="E74" s="256"/>
      <c r="F74" s="357"/>
      <c r="G74" s="356"/>
      <c r="H74" s="356"/>
      <c r="I74" s="356"/>
      <c r="J74" s="356"/>
      <c r="K74" s="356"/>
      <c r="L74" s="357"/>
      <c r="M74" s="356"/>
      <c r="N74" s="356"/>
      <c r="O74" s="336"/>
    </row>
    <row r="75" spans="1:15" s="33" customFormat="1" ht="11.25" x14ac:dyDescent="0.2">
      <c r="A75" s="373"/>
      <c r="B75" s="373"/>
      <c r="C75" s="371" t="s">
        <v>608</v>
      </c>
      <c r="D75" s="256"/>
      <c r="E75" s="256"/>
      <c r="F75" s="357"/>
      <c r="G75" s="356"/>
      <c r="H75" s="356"/>
      <c r="I75" s="356"/>
      <c r="J75" s="356"/>
      <c r="K75" s="356"/>
      <c r="L75" s="357"/>
      <c r="M75" s="356"/>
      <c r="N75" s="356"/>
      <c r="O75" s="336"/>
    </row>
    <row r="76" spans="1:15" s="33" customFormat="1" ht="11.25" x14ac:dyDescent="0.2">
      <c r="A76" s="373"/>
      <c r="B76" s="373"/>
      <c r="C76" s="371" t="s">
        <v>609</v>
      </c>
      <c r="D76" s="256"/>
      <c r="E76" s="256"/>
      <c r="F76" s="357"/>
      <c r="G76" s="356"/>
      <c r="H76" s="356"/>
      <c r="I76" s="356"/>
      <c r="J76" s="356"/>
      <c r="K76" s="356"/>
      <c r="L76" s="357"/>
      <c r="M76" s="356"/>
      <c r="N76" s="356"/>
      <c r="O76" s="336"/>
    </row>
    <row r="77" spans="1:15" s="33" customFormat="1" ht="11.25" x14ac:dyDescent="0.2">
      <c r="A77" s="373"/>
      <c r="B77" s="373"/>
      <c r="C77" s="371" t="s">
        <v>610</v>
      </c>
      <c r="D77" s="256"/>
      <c r="E77" s="256"/>
      <c r="F77" s="357"/>
      <c r="G77" s="356"/>
      <c r="H77" s="356"/>
      <c r="I77" s="356"/>
      <c r="J77" s="356"/>
      <c r="K77" s="356"/>
      <c r="L77" s="357"/>
      <c r="M77" s="356"/>
      <c r="N77" s="356"/>
      <c r="O77" s="336"/>
    </row>
    <row r="78" spans="1:15" s="33" customFormat="1" ht="11.25" x14ac:dyDescent="0.2">
      <c r="A78" s="373"/>
      <c r="B78" s="373"/>
      <c r="C78" s="372" t="s">
        <v>611</v>
      </c>
      <c r="D78" s="266">
        <f>SUM(E78,L78)</f>
        <v>9242593.1600000001</v>
      </c>
      <c r="E78" s="266">
        <f>SUM(F78,I78:K78)</f>
        <v>9242593.1600000001</v>
      </c>
      <c r="F78" s="266">
        <f>SUM(G78:H78)</f>
        <v>4071899.64</v>
      </c>
      <c r="G78" s="245">
        <v>3700913.74</v>
      </c>
      <c r="H78" s="245">
        <v>370985.9</v>
      </c>
      <c r="I78" s="245">
        <v>5168693.5199999996</v>
      </c>
      <c r="J78" s="245">
        <v>2000</v>
      </c>
      <c r="K78" s="245">
        <v>0</v>
      </c>
      <c r="L78" s="266">
        <f>SUM(M78:N78)</f>
        <v>0</v>
      </c>
      <c r="M78" s="245">
        <v>0</v>
      </c>
      <c r="N78" s="245">
        <v>0</v>
      </c>
      <c r="O78" s="336"/>
    </row>
    <row r="79" spans="1:15" s="33" customFormat="1" ht="11.25" x14ac:dyDescent="0.2">
      <c r="A79" s="373"/>
      <c r="B79" s="373">
        <v>80150</v>
      </c>
      <c r="C79" s="371" t="s">
        <v>607</v>
      </c>
      <c r="D79" s="256"/>
      <c r="E79" s="256"/>
      <c r="F79" s="361"/>
      <c r="G79" s="356"/>
      <c r="H79" s="356"/>
      <c r="I79" s="356"/>
      <c r="J79" s="356"/>
      <c r="K79" s="356"/>
      <c r="L79" s="357"/>
      <c r="M79" s="356"/>
      <c r="N79" s="356"/>
      <c r="O79" s="336"/>
    </row>
    <row r="80" spans="1:15" s="33" customFormat="1" ht="11.25" x14ac:dyDescent="0.2">
      <c r="A80" s="373"/>
      <c r="B80" s="373"/>
      <c r="C80" s="371" t="s">
        <v>608</v>
      </c>
      <c r="D80" s="256"/>
      <c r="E80" s="256"/>
      <c r="F80" s="357"/>
      <c r="G80" s="356"/>
      <c r="H80" s="356"/>
      <c r="I80" s="356"/>
      <c r="J80" s="356"/>
      <c r="K80" s="356"/>
      <c r="L80" s="357"/>
      <c r="M80" s="356"/>
      <c r="N80" s="356"/>
      <c r="O80" s="336"/>
    </row>
    <row r="81" spans="1:15" s="33" customFormat="1" ht="11.25" x14ac:dyDescent="0.2">
      <c r="A81" s="373"/>
      <c r="B81" s="373"/>
      <c r="C81" s="371" t="s">
        <v>612</v>
      </c>
      <c r="D81" s="256">
        <f>SUM(E81,L81)</f>
        <v>18248134.670000002</v>
      </c>
      <c r="E81" s="256">
        <f>SUM(F81,I81:K81)</f>
        <v>18248134.670000002</v>
      </c>
      <c r="F81" s="256">
        <f>SUM(G81:H81)</f>
        <v>17257766.66</v>
      </c>
      <c r="G81" s="247">
        <v>16426608.76</v>
      </c>
      <c r="H81" s="247">
        <v>831157.9</v>
      </c>
      <c r="I81" s="247">
        <v>983068.01</v>
      </c>
      <c r="J81" s="247">
        <v>7300</v>
      </c>
      <c r="K81" s="247">
        <v>0</v>
      </c>
      <c r="L81" s="256">
        <f>SUM(M81:N81)</f>
        <v>0</v>
      </c>
      <c r="M81" s="247">
        <v>0</v>
      </c>
      <c r="N81" s="247">
        <v>0</v>
      </c>
      <c r="O81" s="336"/>
    </row>
    <row r="82" spans="1:15" s="2" customFormat="1" ht="12" x14ac:dyDescent="0.2">
      <c r="A82" s="373"/>
      <c r="B82" s="373">
        <v>80195</v>
      </c>
      <c r="C82" s="165" t="s">
        <v>96</v>
      </c>
      <c r="D82" s="256">
        <f>SUM(E82,L82)</f>
        <v>7260506.29</v>
      </c>
      <c r="E82" s="256">
        <f>SUM(F82,I82:K82)</f>
        <v>3260506.29</v>
      </c>
      <c r="F82" s="256">
        <f>SUM(G82:H82)</f>
        <v>2732584.41</v>
      </c>
      <c r="G82" s="247">
        <v>471015.44</v>
      </c>
      <c r="H82" s="247">
        <v>2261568.9700000002</v>
      </c>
      <c r="I82" s="247">
        <v>0</v>
      </c>
      <c r="J82" s="247">
        <v>66215</v>
      </c>
      <c r="K82" s="247">
        <v>461706.88</v>
      </c>
      <c r="L82" s="256">
        <f>SUM(M82:N82)</f>
        <v>4000000</v>
      </c>
      <c r="M82" s="247">
        <v>4000000</v>
      </c>
      <c r="N82" s="247">
        <v>0</v>
      </c>
      <c r="O82" s="336"/>
    </row>
    <row r="83" spans="1:15" s="2" customFormat="1" thickBot="1" x14ac:dyDescent="0.25">
      <c r="A83" s="342">
        <v>851</v>
      </c>
      <c r="B83" s="342"/>
      <c r="C83" s="1255" t="s">
        <v>323</v>
      </c>
      <c r="D83" s="355">
        <f t="shared" ref="D83:N83" si="19">SUM(D84:D87)</f>
        <v>6565783.8799999999</v>
      </c>
      <c r="E83" s="355">
        <f t="shared" si="19"/>
        <v>6565783.8799999999</v>
      </c>
      <c r="F83" s="355">
        <f t="shared" si="19"/>
        <v>5647809.8799999999</v>
      </c>
      <c r="G83" s="355">
        <f t="shared" si="19"/>
        <v>1663917.88</v>
      </c>
      <c r="H83" s="355">
        <f t="shared" si="19"/>
        <v>3983892</v>
      </c>
      <c r="I83" s="355">
        <f t="shared" si="19"/>
        <v>912265</v>
      </c>
      <c r="J83" s="355">
        <f t="shared" si="19"/>
        <v>5709</v>
      </c>
      <c r="K83" s="355">
        <f t="shared" si="19"/>
        <v>0</v>
      </c>
      <c r="L83" s="355">
        <f t="shared" si="19"/>
        <v>0</v>
      </c>
      <c r="M83" s="355">
        <f t="shared" si="19"/>
        <v>0</v>
      </c>
      <c r="N83" s="355">
        <f t="shared" si="19"/>
        <v>0</v>
      </c>
      <c r="O83" s="336"/>
    </row>
    <row r="84" spans="1:15" s="2" customFormat="1" thickTop="1" x14ac:dyDescent="0.2">
      <c r="A84" s="342"/>
      <c r="B84" s="373">
        <v>85149</v>
      </c>
      <c r="C84" s="282" t="s">
        <v>613</v>
      </c>
      <c r="D84" s="266">
        <f>SUM(E84,L84)</f>
        <v>413790</v>
      </c>
      <c r="E84" s="266">
        <f>SUM(F84,I84:K84)</f>
        <v>413790</v>
      </c>
      <c r="F84" s="322">
        <f>SUM(G84:H84)</f>
        <v>392790</v>
      </c>
      <c r="G84" s="245">
        <v>15000</v>
      </c>
      <c r="H84" s="245">
        <v>377790</v>
      </c>
      <c r="I84" s="245">
        <v>21000</v>
      </c>
      <c r="J84" s="245">
        <v>0</v>
      </c>
      <c r="K84" s="245">
        <v>0</v>
      </c>
      <c r="L84" s="266">
        <f>SUM(M84:N84)</f>
        <v>0</v>
      </c>
      <c r="M84" s="245">
        <v>0</v>
      </c>
      <c r="N84" s="245">
        <v>0</v>
      </c>
      <c r="O84" s="336"/>
    </row>
    <row r="85" spans="1:15" s="2" customFormat="1" ht="12" x14ac:dyDescent="0.2">
      <c r="A85" s="342"/>
      <c r="B85" s="373">
        <v>85153</v>
      </c>
      <c r="C85" s="282" t="s">
        <v>614</v>
      </c>
      <c r="D85" s="266">
        <f>SUM(E85,L85)</f>
        <v>60515</v>
      </c>
      <c r="E85" s="266">
        <f>SUM(F85,I85:K85)</f>
        <v>60515</v>
      </c>
      <c r="F85" s="322">
        <f>SUM(G85:H85)</f>
        <v>11750</v>
      </c>
      <c r="G85" s="245">
        <v>0</v>
      </c>
      <c r="H85" s="245">
        <v>11750</v>
      </c>
      <c r="I85" s="245">
        <v>48765</v>
      </c>
      <c r="J85" s="245">
        <v>0</v>
      </c>
      <c r="K85" s="245">
        <v>0</v>
      </c>
      <c r="L85" s="266">
        <f>SUM(M85:N85)</f>
        <v>0</v>
      </c>
      <c r="M85" s="245">
        <v>0</v>
      </c>
      <c r="N85" s="245">
        <v>0</v>
      </c>
      <c r="O85" s="336"/>
    </row>
    <row r="86" spans="1:15" s="2" customFormat="1" ht="12" x14ac:dyDescent="0.2">
      <c r="A86" s="373"/>
      <c r="B86" s="373">
        <v>85154</v>
      </c>
      <c r="C86" s="282" t="s">
        <v>325</v>
      </c>
      <c r="D86" s="266">
        <f>SUM(E86,L86)</f>
        <v>5838788.8799999999</v>
      </c>
      <c r="E86" s="266">
        <f>SUM(F86,I86:K86)</f>
        <v>5838788.8799999999</v>
      </c>
      <c r="F86" s="266">
        <f>SUM(G86:H86)</f>
        <v>5113079.88</v>
      </c>
      <c r="G86" s="245">
        <v>1648917.88</v>
      </c>
      <c r="H86" s="245">
        <v>3464162</v>
      </c>
      <c r="I86" s="245">
        <v>720000</v>
      </c>
      <c r="J86" s="245">
        <v>5709</v>
      </c>
      <c r="K86" s="245">
        <v>0</v>
      </c>
      <c r="L86" s="266">
        <f>SUM(M86:N86)</f>
        <v>0</v>
      </c>
      <c r="M86" s="245">
        <v>0</v>
      </c>
      <c r="N86" s="245">
        <v>0</v>
      </c>
      <c r="O86" s="336"/>
    </row>
    <row r="87" spans="1:15" s="2" customFormat="1" ht="12" x14ac:dyDescent="0.2">
      <c r="A87" s="835"/>
      <c r="B87" s="835">
        <v>85195</v>
      </c>
      <c r="C87" s="282" t="s">
        <v>96</v>
      </c>
      <c r="D87" s="266">
        <f>SUM(E87,L87)</f>
        <v>252690</v>
      </c>
      <c r="E87" s="266">
        <f>SUM(F87,I87:K87)</f>
        <v>252690</v>
      </c>
      <c r="F87" s="322">
        <f>SUM(G87:H87)</f>
        <v>130190</v>
      </c>
      <c r="G87" s="245">
        <v>0</v>
      </c>
      <c r="H87" s="245">
        <v>130190</v>
      </c>
      <c r="I87" s="245">
        <v>122500</v>
      </c>
      <c r="J87" s="245">
        <v>0</v>
      </c>
      <c r="K87" s="245">
        <v>0</v>
      </c>
      <c r="L87" s="266">
        <f>SUM(M87:N87)</f>
        <v>0</v>
      </c>
      <c r="M87" s="245">
        <v>0</v>
      </c>
      <c r="N87" s="245">
        <v>0</v>
      </c>
      <c r="O87" s="336"/>
    </row>
    <row r="88" spans="1:15" s="2" customFormat="1" thickBot="1" x14ac:dyDescent="0.25">
      <c r="A88" s="1259">
        <v>852</v>
      </c>
      <c r="B88" s="1259"/>
      <c r="C88" s="370" t="s">
        <v>1331</v>
      </c>
      <c r="D88" s="354">
        <f t="shared" ref="D88:N88" si="20">SUM(D89:D108)</f>
        <v>87530410.730000004</v>
      </c>
      <c r="E88" s="354">
        <f t="shared" si="20"/>
        <v>86748018.730000004</v>
      </c>
      <c r="F88" s="354">
        <f t="shared" si="20"/>
        <v>55080774.080000006</v>
      </c>
      <c r="G88" s="354">
        <f t="shared" si="20"/>
        <v>30938488.500000004</v>
      </c>
      <c r="H88" s="354">
        <f t="shared" si="20"/>
        <v>24142285.579999998</v>
      </c>
      <c r="I88" s="354">
        <f t="shared" si="20"/>
        <v>11769243.52</v>
      </c>
      <c r="J88" s="354">
        <f t="shared" si="20"/>
        <v>19356524</v>
      </c>
      <c r="K88" s="354">
        <f t="shared" si="20"/>
        <v>541477.13</v>
      </c>
      <c r="L88" s="354">
        <f t="shared" si="20"/>
        <v>782392</v>
      </c>
      <c r="M88" s="354">
        <f t="shared" si="20"/>
        <v>782392</v>
      </c>
      <c r="N88" s="354">
        <f t="shared" si="20"/>
        <v>0</v>
      </c>
      <c r="O88" s="336"/>
    </row>
    <row r="89" spans="1:15" s="2" customFormat="1" thickTop="1" x14ac:dyDescent="0.2">
      <c r="A89" s="373"/>
      <c r="B89" s="373">
        <v>85202</v>
      </c>
      <c r="C89" s="282" t="s">
        <v>328</v>
      </c>
      <c r="D89" s="266">
        <f>SUM(E89,L89)</f>
        <v>26440668.280000001</v>
      </c>
      <c r="E89" s="266">
        <f>SUM(F89,I89:K89)</f>
        <v>25698308.280000001</v>
      </c>
      <c r="F89" s="322">
        <f>SUM(G89:H89)</f>
        <v>25654388.280000001</v>
      </c>
      <c r="G89" s="245">
        <v>8769161</v>
      </c>
      <c r="H89" s="245">
        <v>16885227.280000001</v>
      </c>
      <c r="I89" s="245">
        <v>0</v>
      </c>
      <c r="J89" s="245">
        <v>43920</v>
      </c>
      <c r="K89" s="245">
        <v>0</v>
      </c>
      <c r="L89" s="266">
        <f>SUM(M89:N89)</f>
        <v>742360</v>
      </c>
      <c r="M89" s="245">
        <v>742360</v>
      </c>
      <c r="N89" s="245">
        <v>0</v>
      </c>
      <c r="O89" s="336"/>
    </row>
    <row r="90" spans="1:15" s="2" customFormat="1" ht="12" x14ac:dyDescent="0.2">
      <c r="A90" s="342"/>
      <c r="B90" s="373">
        <v>85203</v>
      </c>
      <c r="C90" s="165" t="s">
        <v>335</v>
      </c>
      <c r="D90" s="266">
        <f>SUM(E90,L90)</f>
        <v>1954261.78</v>
      </c>
      <c r="E90" s="266">
        <f>SUM(F90,I90:K90)</f>
        <v>1954261.78</v>
      </c>
      <c r="F90" s="322">
        <f>SUM(G90:H90)</f>
        <v>1949349.78</v>
      </c>
      <c r="G90" s="245">
        <v>1322529.08</v>
      </c>
      <c r="H90" s="245">
        <v>626820.69999999995</v>
      </c>
      <c r="I90" s="245">
        <v>0</v>
      </c>
      <c r="J90" s="245">
        <v>4912</v>
      </c>
      <c r="K90" s="245">
        <v>0</v>
      </c>
      <c r="L90" s="266">
        <f>SUM(M90:N90)</f>
        <v>0</v>
      </c>
      <c r="M90" s="245">
        <v>0</v>
      </c>
      <c r="N90" s="245">
        <v>0</v>
      </c>
      <c r="O90" s="336"/>
    </row>
    <row r="91" spans="1:15" s="2" customFormat="1" ht="12" x14ac:dyDescent="0.2">
      <c r="A91" s="342"/>
      <c r="B91" s="373">
        <v>85205</v>
      </c>
      <c r="C91" s="1238" t="s">
        <v>615</v>
      </c>
      <c r="D91" s="362"/>
      <c r="E91" s="362"/>
      <c r="F91" s="362"/>
      <c r="G91" s="362"/>
      <c r="H91" s="362"/>
      <c r="I91" s="362"/>
      <c r="J91" s="362"/>
      <c r="K91" s="362"/>
      <c r="L91" s="362"/>
      <c r="M91" s="362"/>
      <c r="N91" s="362"/>
      <c r="O91" s="336"/>
    </row>
    <row r="92" spans="1:15" s="2" customFormat="1" ht="12" x14ac:dyDescent="0.2">
      <c r="A92" s="342"/>
      <c r="B92" s="373"/>
      <c r="C92" s="282" t="s">
        <v>616</v>
      </c>
      <c r="D92" s="266">
        <f>SUM(E92,L92)</f>
        <v>69184</v>
      </c>
      <c r="E92" s="266">
        <f>SUM(F92,I92:K92)</f>
        <v>69184</v>
      </c>
      <c r="F92" s="266">
        <f>SUM(G92:H92)</f>
        <v>69184</v>
      </c>
      <c r="G92" s="245">
        <v>59184</v>
      </c>
      <c r="H92" s="245">
        <v>10000</v>
      </c>
      <c r="I92" s="245">
        <v>0</v>
      </c>
      <c r="J92" s="245">
        <v>0</v>
      </c>
      <c r="K92" s="245">
        <v>0</v>
      </c>
      <c r="L92" s="266">
        <f>SUM(M92:N92)</f>
        <v>0</v>
      </c>
      <c r="M92" s="245">
        <v>0</v>
      </c>
      <c r="N92" s="245">
        <v>0</v>
      </c>
      <c r="O92" s="336"/>
    </row>
    <row r="93" spans="1:15" s="2" customFormat="1" ht="12" x14ac:dyDescent="0.2">
      <c r="A93" s="373"/>
      <c r="B93" s="373">
        <v>85213</v>
      </c>
      <c r="C93" s="1260" t="s">
        <v>617</v>
      </c>
      <c r="D93" s="247"/>
      <c r="E93" s="247"/>
      <c r="F93" s="356"/>
      <c r="G93" s="356"/>
      <c r="H93" s="356"/>
      <c r="I93" s="247"/>
      <c r="J93" s="356"/>
      <c r="K93" s="247"/>
      <c r="L93" s="247"/>
      <c r="M93" s="247"/>
      <c r="N93" s="247"/>
      <c r="O93" s="336"/>
    </row>
    <row r="94" spans="1:15" s="2" customFormat="1" ht="12" x14ac:dyDescent="0.2">
      <c r="A94" s="373"/>
      <c r="B94" s="373"/>
      <c r="C94" s="1260" t="s">
        <v>618</v>
      </c>
      <c r="D94" s="247"/>
      <c r="E94" s="247"/>
      <c r="F94" s="356"/>
      <c r="G94" s="356"/>
      <c r="H94" s="356"/>
      <c r="I94" s="247"/>
      <c r="J94" s="356"/>
      <c r="K94" s="247"/>
      <c r="L94" s="247"/>
      <c r="M94" s="247"/>
      <c r="N94" s="247"/>
      <c r="O94" s="336"/>
    </row>
    <row r="95" spans="1:15" s="2" customFormat="1" ht="12" x14ac:dyDescent="0.2">
      <c r="A95" s="373"/>
      <c r="B95" s="373"/>
      <c r="C95" s="1260" t="s">
        <v>619</v>
      </c>
      <c r="D95" s="247"/>
      <c r="E95" s="247"/>
      <c r="F95" s="356"/>
      <c r="G95" s="356"/>
      <c r="H95" s="356"/>
      <c r="I95" s="247"/>
      <c r="J95" s="356"/>
      <c r="K95" s="247"/>
      <c r="L95" s="247"/>
      <c r="M95" s="247"/>
      <c r="N95" s="247"/>
      <c r="O95" s="336"/>
    </row>
    <row r="96" spans="1:15" s="2" customFormat="1" ht="12" x14ac:dyDescent="0.2">
      <c r="A96" s="373"/>
      <c r="B96" s="373"/>
      <c r="C96" s="1261" t="s">
        <v>1330</v>
      </c>
      <c r="D96" s="266">
        <f>SUM(E96,L96)</f>
        <v>586735</v>
      </c>
      <c r="E96" s="266">
        <f>SUM(F96,I96:K96)</f>
        <v>586735</v>
      </c>
      <c r="F96" s="266">
        <f>SUM(G96:H96)</f>
        <v>586735</v>
      </c>
      <c r="G96" s="245">
        <v>0</v>
      </c>
      <c r="H96" s="245">
        <v>586735</v>
      </c>
      <c r="I96" s="245">
        <v>0</v>
      </c>
      <c r="J96" s="245">
        <v>0</v>
      </c>
      <c r="K96" s="245">
        <v>0</v>
      </c>
      <c r="L96" s="266">
        <f>SUM(M96:N96)</f>
        <v>0</v>
      </c>
      <c r="M96" s="245">
        <v>0</v>
      </c>
      <c r="N96" s="245">
        <v>0</v>
      </c>
      <c r="O96" s="336"/>
    </row>
    <row r="97" spans="1:15" s="2" customFormat="1" ht="12" x14ac:dyDescent="0.2">
      <c r="A97" s="373"/>
      <c r="B97" s="373">
        <v>85214</v>
      </c>
      <c r="C97" s="165" t="s">
        <v>620</v>
      </c>
      <c r="D97" s="247"/>
      <c r="E97" s="247"/>
      <c r="F97" s="358"/>
      <c r="G97" s="356"/>
      <c r="H97" s="356"/>
      <c r="I97" s="247"/>
      <c r="J97" s="356"/>
      <c r="K97" s="247"/>
      <c r="L97" s="247"/>
      <c r="M97" s="247"/>
      <c r="N97" s="247"/>
      <c r="O97" s="336"/>
    </row>
    <row r="98" spans="1:15" s="2" customFormat="1" ht="12" x14ac:dyDescent="0.2">
      <c r="A98" s="373"/>
      <c r="B98" s="373"/>
      <c r="C98" s="282" t="s">
        <v>621</v>
      </c>
      <c r="D98" s="266">
        <f>SUM(E98,L98)</f>
        <v>7020616</v>
      </c>
      <c r="E98" s="266">
        <f>SUM(F98,I98:K98)</f>
        <v>7020616</v>
      </c>
      <c r="F98" s="266">
        <f>SUM(G98:H98)</f>
        <v>143900</v>
      </c>
      <c r="G98" s="245">
        <v>0</v>
      </c>
      <c r="H98" s="245">
        <v>143900</v>
      </c>
      <c r="I98" s="245">
        <v>0</v>
      </c>
      <c r="J98" s="245">
        <v>6876716</v>
      </c>
      <c r="K98" s="245">
        <v>0</v>
      </c>
      <c r="L98" s="266">
        <f>SUM(M98:N98)</f>
        <v>0</v>
      </c>
      <c r="M98" s="245">
        <v>0</v>
      </c>
      <c r="N98" s="245">
        <v>0</v>
      </c>
      <c r="O98" s="336"/>
    </row>
    <row r="99" spans="1:15" s="2" customFormat="1" ht="12" x14ac:dyDescent="0.2">
      <c r="A99" s="373"/>
      <c r="B99" s="373">
        <v>85215</v>
      </c>
      <c r="C99" s="282" t="s">
        <v>353</v>
      </c>
      <c r="D99" s="266">
        <f>SUM(E99,L99)</f>
        <v>4823010</v>
      </c>
      <c r="E99" s="266">
        <f>SUM(F99,I99:K99)</f>
        <v>4823010</v>
      </c>
      <c r="F99" s="322">
        <f>SUM(G99:H99)</f>
        <v>58410</v>
      </c>
      <c r="G99" s="245">
        <v>0</v>
      </c>
      <c r="H99" s="245">
        <v>58410</v>
      </c>
      <c r="I99" s="245">
        <v>0</v>
      </c>
      <c r="J99" s="245">
        <v>4764600</v>
      </c>
      <c r="K99" s="245">
        <v>0</v>
      </c>
      <c r="L99" s="266">
        <f>SUM(M99:N99)</f>
        <v>0</v>
      </c>
      <c r="M99" s="245">
        <v>0</v>
      </c>
      <c r="N99" s="245">
        <v>0</v>
      </c>
      <c r="O99" s="336"/>
    </row>
    <row r="100" spans="1:15" s="2" customFormat="1" ht="12" x14ac:dyDescent="0.2">
      <c r="A100" s="373"/>
      <c r="B100" s="373">
        <v>85216</v>
      </c>
      <c r="C100" s="282" t="s">
        <v>355</v>
      </c>
      <c r="D100" s="266">
        <f>SUM(E100,L100)</f>
        <v>5241603</v>
      </c>
      <c r="E100" s="266">
        <f>SUM(F100,I100:K100)</f>
        <v>5241603</v>
      </c>
      <c r="F100" s="322">
        <f>SUM(G100:H100)</f>
        <v>26721</v>
      </c>
      <c r="G100" s="245">
        <v>0</v>
      </c>
      <c r="H100" s="245">
        <v>26721</v>
      </c>
      <c r="I100" s="245">
        <v>0</v>
      </c>
      <c r="J100" s="245">
        <v>5214882</v>
      </c>
      <c r="K100" s="245">
        <v>0</v>
      </c>
      <c r="L100" s="266">
        <f>SUM(M100:N100)</f>
        <v>0</v>
      </c>
      <c r="M100" s="245">
        <v>0</v>
      </c>
      <c r="N100" s="245">
        <v>0</v>
      </c>
      <c r="O100" s="336"/>
    </row>
    <row r="101" spans="1:15" s="2" customFormat="1" ht="11.25" customHeight="1" x14ac:dyDescent="0.2">
      <c r="A101" s="373"/>
      <c r="B101" s="373">
        <v>85219</v>
      </c>
      <c r="C101" s="282" t="s">
        <v>357</v>
      </c>
      <c r="D101" s="266">
        <f>SUM(E101,L101)</f>
        <v>19528328.34</v>
      </c>
      <c r="E101" s="266">
        <f>SUM(F101,I101:K101)</f>
        <v>19488296.34</v>
      </c>
      <c r="F101" s="322">
        <f>SUM(G101:H101)</f>
        <v>19218402.34</v>
      </c>
      <c r="G101" s="245">
        <v>17701380.940000001</v>
      </c>
      <c r="H101" s="245">
        <v>1517021.4</v>
      </c>
      <c r="I101" s="245">
        <v>171894</v>
      </c>
      <c r="J101" s="245">
        <v>98000</v>
      </c>
      <c r="K101" s="245">
        <v>0</v>
      </c>
      <c r="L101" s="266">
        <f>SUM(M101:N101)</f>
        <v>40032</v>
      </c>
      <c r="M101" s="245">
        <v>40032</v>
      </c>
      <c r="N101" s="245">
        <v>0</v>
      </c>
      <c r="O101" s="336"/>
    </row>
    <row r="102" spans="1:15" s="2" customFormat="1" ht="11.25" customHeight="1" x14ac:dyDescent="0.2">
      <c r="A102" s="373"/>
      <c r="B102" s="373">
        <v>85220</v>
      </c>
      <c r="C102" s="165" t="s">
        <v>622</v>
      </c>
      <c r="D102" s="247"/>
      <c r="E102" s="247"/>
      <c r="F102" s="247"/>
      <c r="G102" s="356"/>
      <c r="H102" s="356"/>
      <c r="I102" s="356"/>
      <c r="J102" s="356"/>
      <c r="K102" s="356"/>
      <c r="L102" s="356"/>
      <c r="M102" s="356"/>
      <c r="N102" s="356"/>
      <c r="O102" s="336"/>
    </row>
    <row r="103" spans="1:15" s="2" customFormat="1" ht="11.25" customHeight="1" x14ac:dyDescent="0.2">
      <c r="A103" s="373"/>
      <c r="B103" s="373"/>
      <c r="C103" s="165" t="s">
        <v>623</v>
      </c>
      <c r="D103" s="247"/>
      <c r="E103" s="247"/>
      <c r="F103" s="247"/>
      <c r="G103" s="356"/>
      <c r="H103" s="356"/>
      <c r="I103" s="356"/>
      <c r="J103" s="356"/>
      <c r="K103" s="356"/>
      <c r="L103" s="356"/>
      <c r="M103" s="356"/>
      <c r="N103" s="356"/>
      <c r="O103" s="336"/>
    </row>
    <row r="104" spans="1:15" s="2" customFormat="1" ht="11.25" customHeight="1" x14ac:dyDescent="0.2">
      <c r="A104" s="373"/>
      <c r="B104" s="216"/>
      <c r="C104" s="282" t="s">
        <v>624</v>
      </c>
      <c r="D104" s="266">
        <f>SUM(E104,L104)</f>
        <v>1038976.46</v>
      </c>
      <c r="E104" s="266">
        <f>SUM(F104,I104:K104)</f>
        <v>1038976.46</v>
      </c>
      <c r="F104" s="266">
        <f>SUM(G104:H104)</f>
        <v>1037176.46</v>
      </c>
      <c r="G104" s="245">
        <v>858629.46</v>
      </c>
      <c r="H104" s="245">
        <v>178547</v>
      </c>
      <c r="I104" s="245">
        <v>0</v>
      </c>
      <c r="J104" s="245">
        <v>1800</v>
      </c>
      <c r="K104" s="245">
        <v>0</v>
      </c>
      <c r="L104" s="266">
        <f>SUM(M104:N104)</f>
        <v>0</v>
      </c>
      <c r="M104" s="245">
        <v>0</v>
      </c>
      <c r="N104" s="245">
        <v>0</v>
      </c>
      <c r="O104" s="336"/>
    </row>
    <row r="105" spans="1:15" s="2" customFormat="1" ht="12" x14ac:dyDescent="0.2">
      <c r="A105" s="373"/>
      <c r="B105" s="373">
        <v>85228</v>
      </c>
      <c r="C105" s="165" t="s">
        <v>625</v>
      </c>
      <c r="D105" s="247"/>
      <c r="E105" s="247"/>
      <c r="F105" s="246"/>
      <c r="G105" s="356"/>
      <c r="H105" s="356"/>
      <c r="I105" s="356"/>
      <c r="J105" s="356"/>
      <c r="K105" s="247"/>
      <c r="L105" s="247"/>
      <c r="M105" s="247"/>
      <c r="N105" s="247"/>
      <c r="O105" s="336"/>
    </row>
    <row r="106" spans="1:15" s="2" customFormat="1" ht="12" x14ac:dyDescent="0.2">
      <c r="A106" s="373"/>
      <c r="B106" s="216"/>
      <c r="C106" s="282" t="s">
        <v>626</v>
      </c>
      <c r="D106" s="266">
        <f>SUM(E106,L106)</f>
        <v>8905485.5199999996</v>
      </c>
      <c r="E106" s="266">
        <f>SUM(F106,I106:K106)</f>
        <v>8905485.5199999996</v>
      </c>
      <c r="F106" s="266">
        <f>SUM(G106:H106)</f>
        <v>0</v>
      </c>
      <c r="G106" s="245">
        <v>0</v>
      </c>
      <c r="H106" s="245">
        <v>0</v>
      </c>
      <c r="I106" s="245">
        <v>8905485.5199999996</v>
      </c>
      <c r="J106" s="245">
        <v>0</v>
      </c>
      <c r="K106" s="245">
        <v>0</v>
      </c>
      <c r="L106" s="266">
        <f>SUM(M106:N106)</f>
        <v>0</v>
      </c>
      <c r="M106" s="245">
        <v>0</v>
      </c>
      <c r="N106" s="245">
        <v>0</v>
      </c>
      <c r="O106" s="336"/>
    </row>
    <row r="107" spans="1:15" s="2" customFormat="1" ht="12" x14ac:dyDescent="0.2">
      <c r="A107" s="373"/>
      <c r="B107" s="216" t="s">
        <v>364</v>
      </c>
      <c r="C107" s="282" t="s">
        <v>365</v>
      </c>
      <c r="D107" s="266">
        <f>SUM(E107,L107)</f>
        <v>5591833</v>
      </c>
      <c r="E107" s="266">
        <f>SUM(F107,I107:K107)</f>
        <v>5591833</v>
      </c>
      <c r="F107" s="322">
        <f>SUM(G107:H107)</f>
        <v>3600500</v>
      </c>
      <c r="G107" s="245">
        <v>0</v>
      </c>
      <c r="H107" s="245">
        <v>3600500</v>
      </c>
      <c r="I107" s="245">
        <v>0</v>
      </c>
      <c r="J107" s="245">
        <v>1991333</v>
      </c>
      <c r="K107" s="245">
        <v>0</v>
      </c>
      <c r="L107" s="266">
        <f>SUM(M107:N107)</f>
        <v>0</v>
      </c>
      <c r="M107" s="245">
        <v>0</v>
      </c>
      <c r="N107" s="245">
        <v>0</v>
      </c>
      <c r="O107" s="336"/>
    </row>
    <row r="108" spans="1:15" s="2" customFormat="1" ht="12" x14ac:dyDescent="0.2">
      <c r="A108" s="373"/>
      <c r="B108" s="373">
        <v>85295</v>
      </c>
      <c r="C108" s="282" t="s">
        <v>96</v>
      </c>
      <c r="D108" s="266">
        <f>SUM(E108,L108)</f>
        <v>6329709.3500000006</v>
      </c>
      <c r="E108" s="266">
        <f>SUM(F108,I108:K108)</f>
        <v>6329709.3500000006</v>
      </c>
      <c r="F108" s="322">
        <f>SUM(G108:H108)</f>
        <v>2736007.22</v>
      </c>
      <c r="G108" s="245">
        <v>2227604.02</v>
      </c>
      <c r="H108" s="245">
        <v>508403.20000000001</v>
      </c>
      <c r="I108" s="245">
        <v>2691864</v>
      </c>
      <c r="J108" s="245">
        <v>360361</v>
      </c>
      <c r="K108" s="245">
        <v>541477.13</v>
      </c>
      <c r="L108" s="266">
        <f>SUM(M108:N108)</f>
        <v>0</v>
      </c>
      <c r="M108" s="245">
        <v>0</v>
      </c>
      <c r="N108" s="245">
        <v>0</v>
      </c>
      <c r="O108" s="336"/>
    </row>
    <row r="109" spans="1:15" s="366" customFormat="1" ht="12" x14ac:dyDescent="0.2">
      <c r="A109" s="342">
        <v>853</v>
      </c>
      <c r="B109" s="342"/>
      <c r="C109" s="363" t="s">
        <v>73</v>
      </c>
      <c r="D109" s="251"/>
      <c r="E109" s="251"/>
      <c r="F109" s="364"/>
      <c r="G109" s="365"/>
      <c r="H109" s="365"/>
      <c r="I109" s="365"/>
      <c r="J109" s="365"/>
      <c r="K109" s="365"/>
      <c r="L109" s="364"/>
      <c r="M109" s="365"/>
      <c r="N109" s="365"/>
      <c r="O109" s="228"/>
    </row>
    <row r="110" spans="1:15" s="2" customFormat="1" thickBot="1" x14ac:dyDescent="0.25">
      <c r="A110" s="342"/>
      <c r="B110" s="342"/>
      <c r="C110" s="1255" t="s">
        <v>74</v>
      </c>
      <c r="D110" s="355">
        <f t="shared" ref="D110:N110" si="21">SUM(D111:D111)</f>
        <v>8431600.5599999987</v>
      </c>
      <c r="E110" s="355">
        <f t="shared" si="21"/>
        <v>8311100.5599999996</v>
      </c>
      <c r="F110" s="355">
        <f t="shared" si="21"/>
        <v>6917172</v>
      </c>
      <c r="G110" s="355">
        <f t="shared" si="21"/>
        <v>3955025</v>
      </c>
      <c r="H110" s="355">
        <f t="shared" si="21"/>
        <v>2962147</v>
      </c>
      <c r="I110" s="355">
        <f t="shared" si="21"/>
        <v>1205180</v>
      </c>
      <c r="J110" s="355">
        <f t="shared" si="21"/>
        <v>12300</v>
      </c>
      <c r="K110" s="355">
        <f t="shared" si="21"/>
        <v>176448.56</v>
      </c>
      <c r="L110" s="355">
        <f t="shared" si="21"/>
        <v>120500</v>
      </c>
      <c r="M110" s="355">
        <f t="shared" si="21"/>
        <v>120500</v>
      </c>
      <c r="N110" s="355">
        <f t="shared" si="21"/>
        <v>0</v>
      </c>
      <c r="O110" s="336"/>
    </row>
    <row r="111" spans="1:15" s="2" customFormat="1" thickTop="1" x14ac:dyDescent="0.2">
      <c r="A111" s="216"/>
      <c r="B111" s="373">
        <v>85395</v>
      </c>
      <c r="C111" s="282" t="s">
        <v>96</v>
      </c>
      <c r="D111" s="266">
        <f>SUM(E111,L111)</f>
        <v>8431600.5599999987</v>
      </c>
      <c r="E111" s="266">
        <f>SUM(F111,I111:K111)</f>
        <v>8311100.5599999996</v>
      </c>
      <c r="F111" s="322">
        <f>SUM(G111:H111)</f>
        <v>6917172</v>
      </c>
      <c r="G111" s="245">
        <v>3955025</v>
      </c>
      <c r="H111" s="245">
        <v>2962147</v>
      </c>
      <c r="I111" s="245">
        <v>1205180</v>
      </c>
      <c r="J111" s="245">
        <v>12300</v>
      </c>
      <c r="K111" s="245">
        <v>176448.56</v>
      </c>
      <c r="L111" s="266">
        <f>SUM(M111:N111)</f>
        <v>120500</v>
      </c>
      <c r="M111" s="245">
        <v>120500</v>
      </c>
      <c r="N111" s="245">
        <v>0</v>
      </c>
      <c r="O111" s="336"/>
    </row>
    <row r="112" spans="1:15" s="71" customFormat="1" thickBot="1" x14ac:dyDescent="0.25">
      <c r="A112" s="342">
        <v>854</v>
      </c>
      <c r="B112" s="342"/>
      <c r="C112" s="1255" t="s">
        <v>59</v>
      </c>
      <c r="D112" s="355">
        <f t="shared" ref="D112:N112" si="22">SUM(D113:D118)</f>
        <v>1565752.58</v>
      </c>
      <c r="E112" s="355">
        <f t="shared" si="22"/>
        <v>1565752.58</v>
      </c>
      <c r="F112" s="355">
        <f t="shared" si="22"/>
        <v>225966.05</v>
      </c>
      <c r="G112" s="355">
        <f t="shared" si="22"/>
        <v>54005</v>
      </c>
      <c r="H112" s="355">
        <f t="shared" si="22"/>
        <v>171961.05</v>
      </c>
      <c r="I112" s="355">
        <f t="shared" si="22"/>
        <v>1209786.53</v>
      </c>
      <c r="J112" s="355">
        <f t="shared" si="22"/>
        <v>130000</v>
      </c>
      <c r="K112" s="355">
        <f t="shared" si="22"/>
        <v>0</v>
      </c>
      <c r="L112" s="355">
        <f t="shared" si="22"/>
        <v>0</v>
      </c>
      <c r="M112" s="355">
        <f t="shared" si="22"/>
        <v>0</v>
      </c>
      <c r="N112" s="355">
        <f t="shared" si="22"/>
        <v>0</v>
      </c>
      <c r="O112" s="228"/>
    </row>
    <row r="113" spans="1:15" s="71" customFormat="1" thickTop="1" x14ac:dyDescent="0.2">
      <c r="A113" s="216"/>
      <c r="B113" s="373">
        <v>85404</v>
      </c>
      <c r="C113" s="282" t="s">
        <v>627</v>
      </c>
      <c r="D113" s="266">
        <f>SUM(E113,L113)</f>
        <v>1266781.53</v>
      </c>
      <c r="E113" s="266">
        <f>SUM(F113,I113:K113)</f>
        <v>1266781.53</v>
      </c>
      <c r="F113" s="266">
        <f>SUM(G113:H113)</f>
        <v>56995</v>
      </c>
      <c r="G113" s="245">
        <v>54005</v>
      </c>
      <c r="H113" s="245">
        <v>2990</v>
      </c>
      <c r="I113" s="245">
        <v>1209786.53</v>
      </c>
      <c r="J113" s="245">
        <v>0</v>
      </c>
      <c r="K113" s="245">
        <v>0</v>
      </c>
      <c r="L113" s="266">
        <f>SUM(M113:N113)</f>
        <v>0</v>
      </c>
      <c r="M113" s="245">
        <v>0</v>
      </c>
      <c r="N113" s="245">
        <v>0</v>
      </c>
      <c r="O113" s="228"/>
    </row>
    <row r="114" spans="1:15" s="71" customFormat="1" ht="12" x14ac:dyDescent="0.2">
      <c r="A114" s="342"/>
      <c r="B114" s="373">
        <v>85412</v>
      </c>
      <c r="C114" s="165" t="s">
        <v>628</v>
      </c>
      <c r="D114" s="256"/>
      <c r="E114" s="256"/>
      <c r="F114" s="361"/>
      <c r="G114" s="357"/>
      <c r="H114" s="357"/>
      <c r="I114" s="357"/>
      <c r="J114" s="357"/>
      <c r="K114" s="357"/>
      <c r="L114" s="357"/>
      <c r="M114" s="357"/>
      <c r="N114" s="357"/>
      <c r="O114" s="228"/>
    </row>
    <row r="115" spans="1:15" s="71" customFormat="1" ht="12" x14ac:dyDescent="0.2">
      <c r="A115" s="342"/>
      <c r="B115" s="373"/>
      <c r="C115" s="165" t="s">
        <v>629</v>
      </c>
      <c r="D115" s="256"/>
      <c r="E115" s="256"/>
      <c r="F115" s="357"/>
      <c r="G115" s="357"/>
      <c r="H115" s="357"/>
      <c r="I115" s="357"/>
      <c r="J115" s="357"/>
      <c r="K115" s="357"/>
      <c r="L115" s="357"/>
      <c r="M115" s="357"/>
      <c r="N115" s="357"/>
      <c r="O115" s="228"/>
    </row>
    <row r="116" spans="1:15" s="71" customFormat="1" ht="12" x14ac:dyDescent="0.2">
      <c r="A116" s="342"/>
      <c r="B116" s="216"/>
      <c r="C116" s="282" t="s">
        <v>630</v>
      </c>
      <c r="D116" s="266">
        <f>SUM(E116,L116)</f>
        <v>95000</v>
      </c>
      <c r="E116" s="266">
        <f>SUM(F116,I116:K116)</f>
        <v>95000</v>
      </c>
      <c r="F116" s="266">
        <f>SUM(G116:H116)</f>
        <v>95000</v>
      </c>
      <c r="G116" s="245">
        <v>0</v>
      </c>
      <c r="H116" s="245">
        <v>95000</v>
      </c>
      <c r="I116" s="245">
        <v>0</v>
      </c>
      <c r="J116" s="245">
        <v>0</v>
      </c>
      <c r="K116" s="245">
        <v>0</v>
      </c>
      <c r="L116" s="266">
        <f>SUM(M116:N116)</f>
        <v>0</v>
      </c>
      <c r="M116" s="245">
        <v>0</v>
      </c>
      <c r="N116" s="245">
        <v>0</v>
      </c>
      <c r="O116" s="228"/>
    </row>
    <row r="117" spans="1:15" s="71" customFormat="1" ht="22.5" x14ac:dyDescent="0.2">
      <c r="A117" s="342"/>
      <c r="B117" s="1262" t="s">
        <v>631</v>
      </c>
      <c r="C117" s="240" t="s">
        <v>632</v>
      </c>
      <c r="D117" s="266">
        <f>SUM(E117,L117)</f>
        <v>130000</v>
      </c>
      <c r="E117" s="266">
        <f>SUM(F117,I117:K117)</f>
        <v>130000</v>
      </c>
      <c r="F117" s="266">
        <f>SUM(G117:H117)</f>
        <v>0</v>
      </c>
      <c r="G117" s="245">
        <v>0</v>
      </c>
      <c r="H117" s="245">
        <v>0</v>
      </c>
      <c r="I117" s="245">
        <v>0</v>
      </c>
      <c r="J117" s="245">
        <v>130000</v>
      </c>
      <c r="K117" s="245">
        <v>0</v>
      </c>
      <c r="L117" s="266">
        <f>SUM(M117:N117)</f>
        <v>0</v>
      </c>
      <c r="M117" s="245">
        <v>0</v>
      </c>
      <c r="N117" s="245">
        <v>0</v>
      </c>
      <c r="O117" s="228"/>
    </row>
    <row r="118" spans="1:15" s="71" customFormat="1" ht="12" x14ac:dyDescent="0.2">
      <c r="A118" s="342"/>
      <c r="B118" s="373">
        <v>85446</v>
      </c>
      <c r="C118" s="165" t="s">
        <v>458</v>
      </c>
      <c r="D118" s="256">
        <f>SUM(E118,L118)</f>
        <v>73971.05</v>
      </c>
      <c r="E118" s="256">
        <f>SUM(F118,I118:K118)</f>
        <v>73971.05</v>
      </c>
      <c r="F118" s="283">
        <f>SUM(G118:H118)</f>
        <v>73971.05</v>
      </c>
      <c r="G118" s="247">
        <v>0</v>
      </c>
      <c r="H118" s="247">
        <v>73971.05</v>
      </c>
      <c r="I118" s="247">
        <v>0</v>
      </c>
      <c r="J118" s="247">
        <v>0</v>
      </c>
      <c r="K118" s="247">
        <v>0</v>
      </c>
      <c r="L118" s="256">
        <f>SUM(M118:N118)</f>
        <v>0</v>
      </c>
      <c r="M118" s="247">
        <v>0</v>
      </c>
      <c r="N118" s="247">
        <v>0</v>
      </c>
      <c r="O118" s="228"/>
    </row>
    <row r="119" spans="1:15" s="71" customFormat="1" thickBot="1" x14ac:dyDescent="0.25">
      <c r="A119" s="342">
        <v>855</v>
      </c>
      <c r="B119" s="342"/>
      <c r="C119" s="1255" t="s">
        <v>61</v>
      </c>
      <c r="D119" s="355">
        <f t="shared" ref="D119:N119" si="23">SUM(D120:D126)</f>
        <v>15366426.76</v>
      </c>
      <c r="E119" s="355">
        <f t="shared" si="23"/>
        <v>13267426.76</v>
      </c>
      <c r="F119" s="355">
        <f t="shared" si="23"/>
        <v>12799125.76</v>
      </c>
      <c r="G119" s="355">
        <f t="shared" si="23"/>
        <v>10650819.060000001</v>
      </c>
      <c r="H119" s="355">
        <f t="shared" si="23"/>
        <v>2148306.7000000002</v>
      </c>
      <c r="I119" s="355">
        <f t="shared" si="23"/>
        <v>0</v>
      </c>
      <c r="J119" s="355">
        <f t="shared" si="23"/>
        <v>57233</v>
      </c>
      <c r="K119" s="355">
        <f t="shared" si="23"/>
        <v>411068</v>
      </c>
      <c r="L119" s="355">
        <f t="shared" si="23"/>
        <v>2099000</v>
      </c>
      <c r="M119" s="355">
        <f t="shared" si="23"/>
        <v>2099000</v>
      </c>
      <c r="N119" s="355">
        <f t="shared" si="23"/>
        <v>0</v>
      </c>
      <c r="O119" s="228"/>
    </row>
    <row r="120" spans="1:15" s="71" customFormat="1" thickTop="1" x14ac:dyDescent="0.2">
      <c r="A120" s="342"/>
      <c r="B120" s="373">
        <v>85501</v>
      </c>
      <c r="C120" s="165" t="s">
        <v>370</v>
      </c>
      <c r="D120" s="256">
        <f>SUM(E120,L120)</f>
        <v>88200</v>
      </c>
      <c r="E120" s="256">
        <f>SUM(F120,I120:K120)</f>
        <v>88200</v>
      </c>
      <c r="F120" s="256">
        <f>SUM(G120:H120)</f>
        <v>88200</v>
      </c>
      <c r="G120" s="247">
        <v>0</v>
      </c>
      <c r="H120" s="247">
        <v>88200</v>
      </c>
      <c r="I120" s="247">
        <v>0</v>
      </c>
      <c r="J120" s="247">
        <v>0</v>
      </c>
      <c r="K120" s="247">
        <v>0</v>
      </c>
      <c r="L120" s="256">
        <f>SUM(M120:N120)</f>
        <v>0</v>
      </c>
      <c r="M120" s="247">
        <v>0</v>
      </c>
      <c r="N120" s="247">
        <v>0</v>
      </c>
      <c r="O120" s="228"/>
    </row>
    <row r="121" spans="1:15" s="71" customFormat="1" ht="12" x14ac:dyDescent="0.2">
      <c r="A121" s="373"/>
      <c r="B121" s="373">
        <v>85502</v>
      </c>
      <c r="C121" s="1263" t="s">
        <v>633</v>
      </c>
      <c r="D121" s="247"/>
      <c r="E121" s="247"/>
      <c r="F121" s="356"/>
      <c r="G121" s="356"/>
      <c r="H121" s="356"/>
      <c r="I121" s="356"/>
      <c r="J121" s="356"/>
      <c r="K121" s="356"/>
      <c r="L121" s="356"/>
      <c r="M121" s="356"/>
      <c r="N121" s="356"/>
      <c r="O121" s="228"/>
    </row>
    <row r="122" spans="1:15" s="71" customFormat="1" ht="12" x14ac:dyDescent="0.2">
      <c r="A122" s="373"/>
      <c r="B122" s="373"/>
      <c r="C122" s="165" t="s">
        <v>634</v>
      </c>
      <c r="D122" s="247"/>
      <c r="E122" s="247"/>
      <c r="F122" s="356"/>
      <c r="G122" s="356"/>
      <c r="H122" s="356"/>
      <c r="I122" s="356"/>
      <c r="J122" s="356"/>
      <c r="K122" s="356"/>
      <c r="L122" s="356"/>
      <c r="M122" s="356"/>
      <c r="N122" s="356"/>
      <c r="O122" s="228"/>
    </row>
    <row r="123" spans="1:15" s="71" customFormat="1" ht="12" x14ac:dyDescent="0.2">
      <c r="A123" s="373"/>
      <c r="B123" s="373"/>
      <c r="C123" s="282" t="s">
        <v>635</v>
      </c>
      <c r="D123" s="266">
        <f>SUM(E123,L123)</f>
        <v>1095130</v>
      </c>
      <c r="E123" s="266">
        <f>SUM(F123,I123:K123)</f>
        <v>1095130</v>
      </c>
      <c r="F123" s="266">
        <f>SUM(G123:H123)</f>
        <v>1090730</v>
      </c>
      <c r="G123" s="245">
        <v>822121</v>
      </c>
      <c r="H123" s="245">
        <v>268609</v>
      </c>
      <c r="I123" s="245">
        <v>0</v>
      </c>
      <c r="J123" s="245">
        <v>4400</v>
      </c>
      <c r="K123" s="245">
        <v>0</v>
      </c>
      <c r="L123" s="266">
        <f>SUM(M123:N123)</f>
        <v>0</v>
      </c>
      <c r="M123" s="245">
        <v>0</v>
      </c>
      <c r="N123" s="245">
        <v>0</v>
      </c>
      <c r="O123" s="228"/>
    </row>
    <row r="124" spans="1:15" s="71" customFormat="1" ht="12" x14ac:dyDescent="0.2">
      <c r="A124" s="373"/>
      <c r="B124" s="373">
        <v>85504</v>
      </c>
      <c r="C124" s="282" t="s">
        <v>381</v>
      </c>
      <c r="D124" s="266">
        <f>SUM(E124,L124)</f>
        <v>1978616.76</v>
      </c>
      <c r="E124" s="266">
        <f>SUM(F124,I124:K124)</f>
        <v>1978616.76</v>
      </c>
      <c r="F124" s="266">
        <f>SUM(G124:H124)</f>
        <v>1967666.76</v>
      </c>
      <c r="G124" s="245">
        <v>1647405.06</v>
      </c>
      <c r="H124" s="245">
        <v>320261.7</v>
      </c>
      <c r="I124" s="245">
        <v>0</v>
      </c>
      <c r="J124" s="245">
        <v>10950</v>
      </c>
      <c r="K124" s="245">
        <v>0</v>
      </c>
      <c r="L124" s="266">
        <f>SUM(M124:N124)</f>
        <v>0</v>
      </c>
      <c r="M124" s="245">
        <v>0</v>
      </c>
      <c r="N124" s="245">
        <v>0</v>
      </c>
      <c r="O124" s="228"/>
    </row>
    <row r="125" spans="1:15" s="71" customFormat="1" ht="12" x14ac:dyDescent="0.2">
      <c r="A125" s="342"/>
      <c r="B125" s="373">
        <v>85516</v>
      </c>
      <c r="C125" s="282" t="s">
        <v>383</v>
      </c>
      <c r="D125" s="266">
        <f>SUM(E125,L125)</f>
        <v>11792952</v>
      </c>
      <c r="E125" s="266">
        <f>SUM(F125,I125:K125)</f>
        <v>9693952</v>
      </c>
      <c r="F125" s="322">
        <f>SUM(G125:H125)</f>
        <v>9652069</v>
      </c>
      <c r="G125" s="245">
        <v>8181293</v>
      </c>
      <c r="H125" s="245">
        <v>1470776</v>
      </c>
      <c r="I125" s="245">
        <v>0</v>
      </c>
      <c r="J125" s="245">
        <v>41883</v>
      </c>
      <c r="K125" s="245">
        <v>0</v>
      </c>
      <c r="L125" s="266">
        <f>SUM(M125:N125)</f>
        <v>2099000</v>
      </c>
      <c r="M125" s="245">
        <v>2099000</v>
      </c>
      <c r="N125" s="245">
        <v>0</v>
      </c>
      <c r="O125" s="228"/>
    </row>
    <row r="126" spans="1:15" s="71" customFormat="1" ht="12" x14ac:dyDescent="0.2">
      <c r="A126" s="1264"/>
      <c r="B126" s="835">
        <v>85595</v>
      </c>
      <c r="C126" s="282" t="s">
        <v>96</v>
      </c>
      <c r="D126" s="266">
        <f>SUM(E126,L126)</f>
        <v>411528</v>
      </c>
      <c r="E126" s="266">
        <f>SUM(F126,I126:K126)</f>
        <v>411528</v>
      </c>
      <c r="F126" s="322">
        <f>SUM(G126:H126)</f>
        <v>460</v>
      </c>
      <c r="G126" s="245">
        <v>0</v>
      </c>
      <c r="H126" s="245">
        <v>460</v>
      </c>
      <c r="I126" s="245">
        <v>0</v>
      </c>
      <c r="J126" s="245">
        <v>0</v>
      </c>
      <c r="K126" s="245">
        <v>411068</v>
      </c>
      <c r="L126" s="266">
        <f>SUM(M126:N126)</f>
        <v>0</v>
      </c>
      <c r="M126" s="245">
        <v>0</v>
      </c>
      <c r="N126" s="245">
        <v>0</v>
      </c>
      <c r="O126" s="228"/>
    </row>
    <row r="127" spans="1:15" s="2" customFormat="1" thickBot="1" x14ac:dyDescent="0.25">
      <c r="A127" s="1259">
        <v>900</v>
      </c>
      <c r="B127" s="1259"/>
      <c r="C127" s="370" t="s">
        <v>63</v>
      </c>
      <c r="D127" s="354">
        <f t="shared" ref="D127:N127" si="24">SUM(D128:D136)</f>
        <v>100723086.20999999</v>
      </c>
      <c r="E127" s="354">
        <f t="shared" si="24"/>
        <v>64555304.210000001</v>
      </c>
      <c r="F127" s="354">
        <f t="shared" si="24"/>
        <v>64344331.210000001</v>
      </c>
      <c r="G127" s="354">
        <f t="shared" si="24"/>
        <v>3376748.4699999997</v>
      </c>
      <c r="H127" s="354">
        <f t="shared" si="24"/>
        <v>60967582.740000002</v>
      </c>
      <c r="I127" s="354">
        <f t="shared" si="24"/>
        <v>100000</v>
      </c>
      <c r="J127" s="354">
        <f t="shared" si="24"/>
        <v>13353</v>
      </c>
      <c r="K127" s="354">
        <f t="shared" si="24"/>
        <v>97620</v>
      </c>
      <c r="L127" s="354">
        <f t="shared" si="24"/>
        <v>36167782</v>
      </c>
      <c r="M127" s="354">
        <f t="shared" si="24"/>
        <v>23433839</v>
      </c>
      <c r="N127" s="354">
        <f t="shared" si="24"/>
        <v>12733943</v>
      </c>
      <c r="O127" s="336"/>
    </row>
    <row r="128" spans="1:15" s="2" customFormat="1" thickTop="1" x14ac:dyDescent="0.2">
      <c r="A128" s="342"/>
      <c r="B128" s="373">
        <v>90001</v>
      </c>
      <c r="C128" s="282" t="s">
        <v>503</v>
      </c>
      <c r="D128" s="266">
        <f>SUM(E128,L128)</f>
        <v>30000</v>
      </c>
      <c r="E128" s="266">
        <f>SUM(F128,I128:K128)</f>
        <v>30000</v>
      </c>
      <c r="F128" s="322">
        <f>SUM(G128:H128)</f>
        <v>30000</v>
      </c>
      <c r="G128" s="245">
        <v>0</v>
      </c>
      <c r="H128" s="245">
        <v>30000</v>
      </c>
      <c r="I128" s="245">
        <v>0</v>
      </c>
      <c r="J128" s="245">
        <v>0</v>
      </c>
      <c r="K128" s="245">
        <v>0</v>
      </c>
      <c r="L128" s="266">
        <f>SUM(M128:N128)</f>
        <v>0</v>
      </c>
      <c r="M128" s="245">
        <v>0</v>
      </c>
      <c r="N128" s="245">
        <v>0</v>
      </c>
      <c r="O128" s="336"/>
    </row>
    <row r="129" spans="1:15" s="2" customFormat="1" ht="12" x14ac:dyDescent="0.2">
      <c r="A129" s="373"/>
      <c r="B129" s="373">
        <v>90002</v>
      </c>
      <c r="C129" s="282" t="s">
        <v>391</v>
      </c>
      <c r="D129" s="266">
        <f t="shared" ref="D129:D136" si="25">SUM(E129,L129)</f>
        <v>44640402</v>
      </c>
      <c r="E129" s="266">
        <f t="shared" ref="E129:E136" si="26">SUM(F129,I129:K129)</f>
        <v>43140402</v>
      </c>
      <c r="F129" s="322">
        <f t="shared" ref="F129:F143" si="27">SUM(G129:H129)</f>
        <v>43140402</v>
      </c>
      <c r="G129" s="245">
        <v>1112843</v>
      </c>
      <c r="H129" s="245">
        <v>42027559</v>
      </c>
      <c r="I129" s="245">
        <v>0</v>
      </c>
      <c r="J129" s="245">
        <v>0</v>
      </c>
      <c r="K129" s="245">
        <v>0</v>
      </c>
      <c r="L129" s="266">
        <f t="shared" ref="L129:L136" si="28">SUM(M129:N129)</f>
        <v>1500000</v>
      </c>
      <c r="M129" s="245">
        <v>1500000</v>
      </c>
      <c r="N129" s="245">
        <v>0</v>
      </c>
      <c r="O129" s="336"/>
    </row>
    <row r="130" spans="1:15" s="2" customFormat="1" ht="12" x14ac:dyDescent="0.2">
      <c r="A130" s="373"/>
      <c r="B130" s="373">
        <v>90003</v>
      </c>
      <c r="C130" s="282" t="s">
        <v>636</v>
      </c>
      <c r="D130" s="266">
        <f t="shared" si="25"/>
        <v>681352.9</v>
      </c>
      <c r="E130" s="266">
        <f t="shared" si="26"/>
        <v>573352.9</v>
      </c>
      <c r="F130" s="322">
        <f t="shared" si="27"/>
        <v>573352.9</v>
      </c>
      <c r="G130" s="245">
        <v>0</v>
      </c>
      <c r="H130" s="245">
        <v>573352.9</v>
      </c>
      <c r="I130" s="245">
        <v>0</v>
      </c>
      <c r="J130" s="245">
        <v>0</v>
      </c>
      <c r="K130" s="245">
        <v>0</v>
      </c>
      <c r="L130" s="266">
        <f t="shared" si="28"/>
        <v>108000</v>
      </c>
      <c r="M130" s="245">
        <v>108000</v>
      </c>
      <c r="N130" s="245">
        <v>0</v>
      </c>
      <c r="O130" s="336"/>
    </row>
    <row r="131" spans="1:15" s="2" customFormat="1" ht="12" x14ac:dyDescent="0.2">
      <c r="A131" s="373"/>
      <c r="B131" s="373">
        <v>90004</v>
      </c>
      <c r="C131" s="282" t="s">
        <v>637</v>
      </c>
      <c r="D131" s="266">
        <f t="shared" si="25"/>
        <v>3283864</v>
      </c>
      <c r="E131" s="266">
        <f t="shared" si="26"/>
        <v>3001864</v>
      </c>
      <c r="F131" s="322">
        <f t="shared" si="27"/>
        <v>3001864</v>
      </c>
      <c r="G131" s="245">
        <v>0</v>
      </c>
      <c r="H131" s="245">
        <v>3001864</v>
      </c>
      <c r="I131" s="245">
        <v>0</v>
      </c>
      <c r="J131" s="245">
        <v>0</v>
      </c>
      <c r="K131" s="245">
        <v>0</v>
      </c>
      <c r="L131" s="266">
        <f t="shared" si="28"/>
        <v>282000</v>
      </c>
      <c r="M131" s="245">
        <v>282000</v>
      </c>
      <c r="N131" s="245">
        <v>0</v>
      </c>
      <c r="O131" s="336"/>
    </row>
    <row r="132" spans="1:15" s="2" customFormat="1" ht="12" x14ac:dyDescent="0.2">
      <c r="A132" s="373"/>
      <c r="B132" s="373">
        <v>90005</v>
      </c>
      <c r="C132" s="282" t="s">
        <v>638</v>
      </c>
      <c r="D132" s="266">
        <f>SUM(E132,L132)</f>
        <v>19605375.559999999</v>
      </c>
      <c r="E132" s="266">
        <f>SUM(F132,I132:K132)</f>
        <v>749986.56</v>
      </c>
      <c r="F132" s="322">
        <f>SUM(G132:H132)</f>
        <v>649986.56000000006</v>
      </c>
      <c r="G132" s="245">
        <v>18488</v>
      </c>
      <c r="H132" s="245">
        <v>631498.56000000006</v>
      </c>
      <c r="I132" s="245">
        <v>100000</v>
      </c>
      <c r="J132" s="245">
        <v>0</v>
      </c>
      <c r="K132" s="245">
        <v>0</v>
      </c>
      <c r="L132" s="266">
        <f>SUM(M132,T132)</f>
        <v>18855389</v>
      </c>
      <c r="M132" s="266">
        <v>18855389</v>
      </c>
      <c r="N132" s="322">
        <v>0</v>
      </c>
      <c r="O132" s="336"/>
    </row>
    <row r="133" spans="1:15" s="2" customFormat="1" ht="12" x14ac:dyDescent="0.2">
      <c r="A133" s="373"/>
      <c r="B133" s="373">
        <v>90013</v>
      </c>
      <c r="C133" s="282" t="s">
        <v>396</v>
      </c>
      <c r="D133" s="266">
        <f t="shared" si="25"/>
        <v>2552392</v>
      </c>
      <c r="E133" s="266">
        <f t="shared" si="26"/>
        <v>2382392</v>
      </c>
      <c r="F133" s="322">
        <f t="shared" si="27"/>
        <v>2375039</v>
      </c>
      <c r="G133" s="245">
        <v>1716119</v>
      </c>
      <c r="H133" s="245">
        <v>658920</v>
      </c>
      <c r="I133" s="245">
        <v>0</v>
      </c>
      <c r="J133" s="245">
        <v>7353</v>
      </c>
      <c r="K133" s="245">
        <v>0</v>
      </c>
      <c r="L133" s="266">
        <f t="shared" si="28"/>
        <v>170000</v>
      </c>
      <c r="M133" s="245">
        <v>170000</v>
      </c>
      <c r="N133" s="245">
        <v>0</v>
      </c>
      <c r="O133" s="336"/>
    </row>
    <row r="134" spans="1:15" s="2" customFormat="1" ht="12" x14ac:dyDescent="0.2">
      <c r="A134" s="373"/>
      <c r="B134" s="373">
        <v>90015</v>
      </c>
      <c r="C134" s="282" t="s">
        <v>639</v>
      </c>
      <c r="D134" s="266">
        <f t="shared" si="25"/>
        <v>9526218</v>
      </c>
      <c r="E134" s="266">
        <f t="shared" si="26"/>
        <v>8607768</v>
      </c>
      <c r="F134" s="322">
        <f t="shared" si="27"/>
        <v>8607768</v>
      </c>
      <c r="G134" s="245">
        <v>0</v>
      </c>
      <c r="H134" s="245">
        <v>8607768</v>
      </c>
      <c r="I134" s="245">
        <v>0</v>
      </c>
      <c r="J134" s="245">
        <v>0</v>
      </c>
      <c r="K134" s="245">
        <v>0</v>
      </c>
      <c r="L134" s="266">
        <f t="shared" si="28"/>
        <v>918450</v>
      </c>
      <c r="M134" s="245">
        <v>918450</v>
      </c>
      <c r="N134" s="245">
        <v>0</v>
      </c>
      <c r="O134" s="336"/>
    </row>
    <row r="135" spans="1:15" s="2" customFormat="1" ht="12" x14ac:dyDescent="0.2">
      <c r="A135" s="373"/>
      <c r="B135" s="373">
        <v>90026</v>
      </c>
      <c r="C135" s="282" t="s">
        <v>640</v>
      </c>
      <c r="D135" s="266">
        <f t="shared" si="25"/>
        <v>60000</v>
      </c>
      <c r="E135" s="266">
        <f>SUM(F135,I135:K135)</f>
        <v>60000</v>
      </c>
      <c r="F135" s="322">
        <f>SUM(G135:H135)</f>
        <v>60000</v>
      </c>
      <c r="G135" s="245">
        <v>0</v>
      </c>
      <c r="H135" s="245">
        <v>60000</v>
      </c>
      <c r="I135" s="245">
        <v>0</v>
      </c>
      <c r="J135" s="245">
        <v>0</v>
      </c>
      <c r="K135" s="245">
        <v>0</v>
      </c>
      <c r="L135" s="266">
        <f t="shared" si="28"/>
        <v>0</v>
      </c>
      <c r="M135" s="245">
        <v>0</v>
      </c>
      <c r="N135" s="245">
        <v>0</v>
      </c>
      <c r="O135" s="336"/>
    </row>
    <row r="136" spans="1:15" s="2" customFormat="1" ht="12" x14ac:dyDescent="0.2">
      <c r="A136" s="373"/>
      <c r="B136" s="373">
        <v>90095</v>
      </c>
      <c r="C136" s="282" t="s">
        <v>96</v>
      </c>
      <c r="D136" s="266">
        <f t="shared" si="25"/>
        <v>20343481.75</v>
      </c>
      <c r="E136" s="266">
        <f t="shared" si="26"/>
        <v>6009538.75</v>
      </c>
      <c r="F136" s="322">
        <f t="shared" si="27"/>
        <v>5905918.75</v>
      </c>
      <c r="G136" s="245">
        <v>529298.47</v>
      </c>
      <c r="H136" s="245">
        <v>5376620.2800000003</v>
      </c>
      <c r="I136" s="245">
        <v>0</v>
      </c>
      <c r="J136" s="245">
        <v>6000</v>
      </c>
      <c r="K136" s="367">
        <v>97620</v>
      </c>
      <c r="L136" s="266">
        <f t="shared" si="28"/>
        <v>14333943</v>
      </c>
      <c r="M136" s="245">
        <v>1600000</v>
      </c>
      <c r="N136" s="245">
        <v>12733943</v>
      </c>
      <c r="O136" s="336"/>
    </row>
    <row r="137" spans="1:15" s="2" customFormat="1" thickBot="1" x14ac:dyDescent="0.25">
      <c r="A137" s="342">
        <v>921</v>
      </c>
      <c r="B137" s="342"/>
      <c r="C137" s="1255" t="s">
        <v>65</v>
      </c>
      <c r="D137" s="355">
        <f t="shared" ref="D137:N137" si="29">SUM(D138:D143)</f>
        <v>22956703.589999996</v>
      </c>
      <c r="E137" s="355">
        <f t="shared" si="29"/>
        <v>22879670</v>
      </c>
      <c r="F137" s="355">
        <f t="shared" si="29"/>
        <v>371270</v>
      </c>
      <c r="G137" s="355">
        <f t="shared" si="29"/>
        <v>51200</v>
      </c>
      <c r="H137" s="355">
        <f t="shared" si="29"/>
        <v>320070</v>
      </c>
      <c r="I137" s="355">
        <f t="shared" si="29"/>
        <v>22490000</v>
      </c>
      <c r="J137" s="355">
        <f t="shared" si="29"/>
        <v>18400</v>
      </c>
      <c r="K137" s="355">
        <f t="shared" si="29"/>
        <v>0</v>
      </c>
      <c r="L137" s="355">
        <f t="shared" si="29"/>
        <v>77033.59</v>
      </c>
      <c r="M137" s="355">
        <f t="shared" si="29"/>
        <v>0</v>
      </c>
      <c r="N137" s="355">
        <f t="shared" si="29"/>
        <v>77033.59</v>
      </c>
      <c r="O137" s="336"/>
    </row>
    <row r="138" spans="1:15" s="2" customFormat="1" ht="12" customHeight="1" thickTop="1" x14ac:dyDescent="0.2">
      <c r="A138" s="342"/>
      <c r="B138" s="373">
        <v>92110</v>
      </c>
      <c r="C138" s="282" t="s">
        <v>641</v>
      </c>
      <c r="D138" s="266">
        <f t="shared" ref="D138:D143" si="30">SUM(E138,L138)</f>
        <v>1385156.78</v>
      </c>
      <c r="E138" s="266">
        <f t="shared" ref="E138:E143" si="31">SUM(F138,I138:K138)</f>
        <v>1380000</v>
      </c>
      <c r="F138" s="322">
        <f t="shared" si="27"/>
        <v>0</v>
      </c>
      <c r="G138" s="245">
        <v>0</v>
      </c>
      <c r="H138" s="245">
        <v>0</v>
      </c>
      <c r="I138" s="245">
        <v>1380000</v>
      </c>
      <c r="J138" s="245">
        <v>0</v>
      </c>
      <c r="K138" s="245">
        <v>0</v>
      </c>
      <c r="L138" s="266">
        <f t="shared" ref="L138:L143" si="32">SUM(M138:N138)</f>
        <v>5156.78</v>
      </c>
      <c r="M138" s="245">
        <v>0</v>
      </c>
      <c r="N138" s="245">
        <v>5156.78</v>
      </c>
      <c r="O138" s="336"/>
    </row>
    <row r="139" spans="1:15" s="2" customFormat="1" ht="12" customHeight="1" x14ac:dyDescent="0.2">
      <c r="A139" s="216"/>
      <c r="B139" s="373">
        <v>92113</v>
      </c>
      <c r="C139" s="282" t="s">
        <v>642</v>
      </c>
      <c r="D139" s="266">
        <f t="shared" si="30"/>
        <v>10765880.369999999</v>
      </c>
      <c r="E139" s="266">
        <f t="shared" si="31"/>
        <v>10740000</v>
      </c>
      <c r="F139" s="322">
        <f t="shared" si="27"/>
        <v>0</v>
      </c>
      <c r="G139" s="245">
        <v>0</v>
      </c>
      <c r="H139" s="245">
        <v>0</v>
      </c>
      <c r="I139" s="245">
        <v>10740000</v>
      </c>
      <c r="J139" s="245">
        <v>0</v>
      </c>
      <c r="K139" s="245">
        <v>0</v>
      </c>
      <c r="L139" s="266">
        <f t="shared" si="32"/>
        <v>25880.37</v>
      </c>
      <c r="M139" s="245">
        <v>0</v>
      </c>
      <c r="N139" s="245">
        <v>25880.37</v>
      </c>
      <c r="O139" s="336"/>
    </row>
    <row r="140" spans="1:15" s="2" customFormat="1" ht="12" customHeight="1" x14ac:dyDescent="0.2">
      <c r="A140" s="216"/>
      <c r="B140" s="373">
        <v>92114</v>
      </c>
      <c r="C140" s="282" t="s">
        <v>643</v>
      </c>
      <c r="D140" s="266">
        <f t="shared" si="30"/>
        <v>2228856.59</v>
      </c>
      <c r="E140" s="266">
        <f t="shared" si="31"/>
        <v>2220000</v>
      </c>
      <c r="F140" s="322">
        <f t="shared" si="27"/>
        <v>0</v>
      </c>
      <c r="G140" s="245">
        <v>0</v>
      </c>
      <c r="H140" s="245">
        <v>0</v>
      </c>
      <c r="I140" s="245">
        <v>2220000</v>
      </c>
      <c r="J140" s="245">
        <v>0</v>
      </c>
      <c r="K140" s="245">
        <v>0</v>
      </c>
      <c r="L140" s="266">
        <f t="shared" si="32"/>
        <v>8856.59</v>
      </c>
      <c r="M140" s="245">
        <v>0</v>
      </c>
      <c r="N140" s="245">
        <v>8856.59</v>
      </c>
      <c r="O140" s="336"/>
    </row>
    <row r="141" spans="1:15" s="2" customFormat="1" ht="12" customHeight="1" x14ac:dyDescent="0.2">
      <c r="A141" s="216"/>
      <c r="B141" s="373">
        <v>92116</v>
      </c>
      <c r="C141" s="282" t="s">
        <v>644</v>
      </c>
      <c r="D141" s="266">
        <f t="shared" si="30"/>
        <v>6487139.8499999996</v>
      </c>
      <c r="E141" s="266">
        <f t="shared" si="31"/>
        <v>6450000</v>
      </c>
      <c r="F141" s="322">
        <f t="shared" si="27"/>
        <v>0</v>
      </c>
      <c r="G141" s="245">
        <v>0</v>
      </c>
      <c r="H141" s="245">
        <v>0</v>
      </c>
      <c r="I141" s="245">
        <v>6450000</v>
      </c>
      <c r="J141" s="245">
        <v>0</v>
      </c>
      <c r="K141" s="245">
        <v>0</v>
      </c>
      <c r="L141" s="266">
        <f t="shared" si="32"/>
        <v>37139.85</v>
      </c>
      <c r="M141" s="245">
        <v>0</v>
      </c>
      <c r="N141" s="245">
        <v>37139.85</v>
      </c>
      <c r="O141" s="336"/>
    </row>
    <row r="142" spans="1:15" s="2" customFormat="1" ht="12" customHeight="1" x14ac:dyDescent="0.2">
      <c r="A142" s="216"/>
      <c r="B142" s="373">
        <v>92120</v>
      </c>
      <c r="C142" s="282" t="s">
        <v>645</v>
      </c>
      <c r="D142" s="266">
        <f t="shared" si="30"/>
        <v>753850</v>
      </c>
      <c r="E142" s="266">
        <f t="shared" si="31"/>
        <v>753850</v>
      </c>
      <c r="F142" s="322">
        <f t="shared" si="27"/>
        <v>3850</v>
      </c>
      <c r="G142" s="245">
        <v>0</v>
      </c>
      <c r="H142" s="245">
        <v>3850</v>
      </c>
      <c r="I142" s="245">
        <v>750000</v>
      </c>
      <c r="J142" s="245">
        <v>0</v>
      </c>
      <c r="K142" s="245">
        <v>0</v>
      </c>
      <c r="L142" s="266">
        <f t="shared" si="32"/>
        <v>0</v>
      </c>
      <c r="M142" s="245">
        <v>0</v>
      </c>
      <c r="N142" s="245">
        <v>0</v>
      </c>
      <c r="O142" s="336"/>
    </row>
    <row r="143" spans="1:15" s="2" customFormat="1" ht="12" customHeight="1" x14ac:dyDescent="0.2">
      <c r="A143" s="373"/>
      <c r="B143" s="373">
        <v>92195</v>
      </c>
      <c r="C143" s="282" t="s">
        <v>96</v>
      </c>
      <c r="D143" s="266">
        <f t="shared" si="30"/>
        <v>1335820</v>
      </c>
      <c r="E143" s="266">
        <f t="shared" si="31"/>
        <v>1335820</v>
      </c>
      <c r="F143" s="322">
        <f t="shared" si="27"/>
        <v>367420</v>
      </c>
      <c r="G143" s="245">
        <v>51200</v>
      </c>
      <c r="H143" s="245">
        <v>316220</v>
      </c>
      <c r="I143" s="245">
        <v>950000</v>
      </c>
      <c r="J143" s="245">
        <v>18400</v>
      </c>
      <c r="K143" s="245">
        <v>0</v>
      </c>
      <c r="L143" s="266">
        <f t="shared" si="32"/>
        <v>0</v>
      </c>
      <c r="M143" s="245">
        <v>0</v>
      </c>
      <c r="N143" s="245">
        <v>0</v>
      </c>
      <c r="O143" s="336"/>
    </row>
    <row r="144" spans="1:15" s="2" customFormat="1" thickBot="1" x14ac:dyDescent="0.25">
      <c r="A144" s="342">
        <v>926</v>
      </c>
      <c r="B144" s="342"/>
      <c r="C144" s="1255" t="s">
        <v>67</v>
      </c>
      <c r="D144" s="355">
        <f>SUM(D145,D146,D147,D148)</f>
        <v>35259854.18</v>
      </c>
      <c r="E144" s="355">
        <f t="shared" ref="E144:K144" si="33">SUM(E145,E146,E147,E148)</f>
        <v>26219854.180000003</v>
      </c>
      <c r="F144" s="355">
        <f t="shared" si="33"/>
        <v>20499024.180000003</v>
      </c>
      <c r="G144" s="355">
        <f>SUM(G145,G146,G147,G148)</f>
        <v>9529767.5800000001</v>
      </c>
      <c r="H144" s="355">
        <f t="shared" si="33"/>
        <v>10969256.600000001</v>
      </c>
      <c r="I144" s="355">
        <f t="shared" si="33"/>
        <v>5000000</v>
      </c>
      <c r="J144" s="355">
        <f t="shared" si="33"/>
        <v>720830</v>
      </c>
      <c r="K144" s="355">
        <f t="shared" si="33"/>
        <v>0</v>
      </c>
      <c r="L144" s="355">
        <f>SUM(L145,L146,L147,L148)</f>
        <v>9040000</v>
      </c>
      <c r="M144" s="355">
        <f>SUM(M145,M146,M147,M148)</f>
        <v>9040000</v>
      </c>
      <c r="N144" s="355">
        <f>SUM(N145,N146,N147,N148)</f>
        <v>0</v>
      </c>
      <c r="O144" s="336"/>
    </row>
    <row r="145" spans="1:16" s="2" customFormat="1" ht="12" customHeight="1" thickTop="1" x14ac:dyDescent="0.2">
      <c r="A145" s="342"/>
      <c r="B145" s="373">
        <v>92601</v>
      </c>
      <c r="C145" s="282" t="s">
        <v>646</v>
      </c>
      <c r="D145" s="266">
        <f>SUM(E145,L145)</f>
        <v>8934184</v>
      </c>
      <c r="E145" s="266">
        <f>SUM(F145,I145:K145)</f>
        <v>134184</v>
      </c>
      <c r="F145" s="322">
        <f>SUM(G145:H145)</f>
        <v>134184</v>
      </c>
      <c r="G145" s="245">
        <v>0</v>
      </c>
      <c r="H145" s="245">
        <v>134184</v>
      </c>
      <c r="I145" s="245">
        <v>0</v>
      </c>
      <c r="J145" s="245">
        <v>0</v>
      </c>
      <c r="K145" s="245">
        <v>0</v>
      </c>
      <c r="L145" s="266">
        <f>SUM(M145:N145)</f>
        <v>8800000</v>
      </c>
      <c r="M145" s="245">
        <v>8800000</v>
      </c>
      <c r="N145" s="245">
        <v>0</v>
      </c>
      <c r="O145" s="336"/>
    </row>
    <row r="146" spans="1:16" s="2" customFormat="1" ht="12" customHeight="1" x14ac:dyDescent="0.2">
      <c r="A146" s="216"/>
      <c r="B146" s="373">
        <v>92604</v>
      </c>
      <c r="C146" s="282" t="s">
        <v>412</v>
      </c>
      <c r="D146" s="266">
        <f>SUM(E146,L146)</f>
        <v>20468388.880000003</v>
      </c>
      <c r="E146" s="266">
        <f>SUM(F146,I146:K146)</f>
        <v>20228388.880000003</v>
      </c>
      <c r="F146" s="322">
        <f>SUM(G146:H146)</f>
        <v>20122184.880000003</v>
      </c>
      <c r="G146" s="245">
        <v>9489820.5800000001</v>
      </c>
      <c r="H146" s="245">
        <v>10632364.300000001</v>
      </c>
      <c r="I146" s="245">
        <v>0</v>
      </c>
      <c r="J146" s="245">
        <v>106204</v>
      </c>
      <c r="K146" s="245">
        <v>0</v>
      </c>
      <c r="L146" s="266">
        <f>SUM(M146:N146)</f>
        <v>240000</v>
      </c>
      <c r="M146" s="245">
        <v>240000</v>
      </c>
      <c r="N146" s="245">
        <v>0</v>
      </c>
      <c r="O146" s="336"/>
    </row>
    <row r="147" spans="1:16" s="2" customFormat="1" ht="12" x14ac:dyDescent="0.2">
      <c r="A147" s="373"/>
      <c r="B147" s="373">
        <v>92605</v>
      </c>
      <c r="C147" s="282" t="s">
        <v>647</v>
      </c>
      <c r="D147" s="266">
        <f>SUM(E147,L147)</f>
        <v>5000000</v>
      </c>
      <c r="E147" s="266">
        <f>SUM(F147,I147:K147)</f>
        <v>5000000</v>
      </c>
      <c r="F147" s="322">
        <f>SUM(G147:H147)</f>
        <v>0</v>
      </c>
      <c r="G147" s="266">
        <v>0</v>
      </c>
      <c r="H147" s="266">
        <v>0</v>
      </c>
      <c r="I147" s="266">
        <v>5000000</v>
      </c>
      <c r="J147" s="266">
        <v>0</v>
      </c>
      <c r="K147" s="266">
        <v>0</v>
      </c>
      <c r="L147" s="266">
        <f>SUM(M147:N147)</f>
        <v>0</v>
      </c>
      <c r="M147" s="266">
        <v>0</v>
      </c>
      <c r="N147" s="266">
        <v>0</v>
      </c>
      <c r="O147" s="336"/>
    </row>
    <row r="148" spans="1:16" s="5" customFormat="1" ht="12" customHeight="1" x14ac:dyDescent="0.2">
      <c r="A148" s="373"/>
      <c r="B148" s="835">
        <v>92695</v>
      </c>
      <c r="C148" s="282" t="s">
        <v>96</v>
      </c>
      <c r="D148" s="266">
        <f>SUM(E148,L148)</f>
        <v>857281.3</v>
      </c>
      <c r="E148" s="266">
        <f>SUM(F148,I148:K148)</f>
        <v>857281.3</v>
      </c>
      <c r="F148" s="322">
        <f>SUM(G148:H148)</f>
        <v>242655.3</v>
      </c>
      <c r="G148" s="245">
        <v>39947</v>
      </c>
      <c r="H148" s="245">
        <v>202708.3</v>
      </c>
      <c r="I148" s="245">
        <v>0</v>
      </c>
      <c r="J148" s="245">
        <v>614626</v>
      </c>
      <c r="K148" s="245">
        <v>0</v>
      </c>
      <c r="L148" s="266">
        <f>SUM(M148:N148)</f>
        <v>0</v>
      </c>
      <c r="M148" s="245">
        <v>0</v>
      </c>
      <c r="N148" s="245">
        <v>0</v>
      </c>
      <c r="O148" s="336"/>
    </row>
    <row r="149" spans="1:16" s="5" customFormat="1" ht="15.75" customHeight="1" x14ac:dyDescent="0.2">
      <c r="A149" s="375"/>
      <c r="B149" s="376"/>
      <c r="C149" s="1236" t="s">
        <v>648</v>
      </c>
      <c r="D149" s="378">
        <f>SUM(D18,D20,D22,D30,D33,D38,D44,D53,D57,D62,D64,D83,D88,D110,D112,D119,D127,D137,D144,)</f>
        <v>1031041586.12</v>
      </c>
      <c r="E149" s="378">
        <f t="shared" ref="E149:N149" si="34">SUM(E18,E20,E22,E30,E33,E38,E44,E53,E57,E62,E64,E83,E88,E110,E112,E119,E127,E137,E144,)</f>
        <v>713621724.28999996</v>
      </c>
      <c r="F149" s="378">
        <f t="shared" si="34"/>
        <v>611514944.81999993</v>
      </c>
      <c r="G149" s="378">
        <f t="shared" si="34"/>
        <v>290120838.99000001</v>
      </c>
      <c r="H149" s="378">
        <f t="shared" si="34"/>
        <v>321394105.83000004</v>
      </c>
      <c r="I149" s="378">
        <f t="shared" si="34"/>
        <v>76338584.140000001</v>
      </c>
      <c r="J149" s="378">
        <f t="shared" si="34"/>
        <v>22045271</v>
      </c>
      <c r="K149" s="378">
        <f t="shared" si="34"/>
        <v>3722924.33</v>
      </c>
      <c r="L149" s="378">
        <f t="shared" si="34"/>
        <v>317419861.82999998</v>
      </c>
      <c r="M149" s="378">
        <f t="shared" si="34"/>
        <v>154518172.17000002</v>
      </c>
      <c r="N149" s="378">
        <f t="shared" si="34"/>
        <v>162901689.66</v>
      </c>
      <c r="O149" s="336"/>
      <c r="P149" s="351"/>
    </row>
    <row r="150" spans="1:16" s="5" customFormat="1" ht="16.5" customHeight="1" x14ac:dyDescent="0.2">
      <c r="A150" s="1251" t="s">
        <v>649</v>
      </c>
      <c r="B150" s="1252"/>
      <c r="C150" s="1253"/>
      <c r="D150" s="1252"/>
      <c r="E150" s="1252"/>
      <c r="F150" s="1252"/>
      <c r="G150" s="1252"/>
      <c r="H150" s="1252"/>
      <c r="I150" s="1252"/>
      <c r="J150" s="1252"/>
      <c r="K150" s="1252"/>
      <c r="L150" s="1252"/>
      <c r="M150" s="1252"/>
      <c r="N150" s="1254"/>
      <c r="O150" s="336"/>
      <c r="P150" s="351"/>
    </row>
    <row r="151" spans="1:16" s="5" customFormat="1" ht="12" customHeight="1" thickBot="1" x14ac:dyDescent="0.25">
      <c r="A151" s="342">
        <v>600</v>
      </c>
      <c r="B151" s="342"/>
      <c r="C151" s="1255" t="s">
        <v>25</v>
      </c>
      <c r="D151" s="355">
        <f>SUM(D152:D153)</f>
        <v>93948006.299999997</v>
      </c>
      <c r="E151" s="355">
        <f t="shared" ref="E151:N151" si="35">SUM(E152:E153)</f>
        <v>12381006</v>
      </c>
      <c r="F151" s="355">
        <f t="shared" si="35"/>
        <v>12381006</v>
      </c>
      <c r="G151" s="355">
        <f t="shared" si="35"/>
        <v>0</v>
      </c>
      <c r="H151" s="355">
        <f t="shared" si="35"/>
        <v>12381006</v>
      </c>
      <c r="I151" s="355">
        <f t="shared" si="35"/>
        <v>0</v>
      </c>
      <c r="J151" s="355">
        <f t="shared" si="35"/>
        <v>0</v>
      </c>
      <c r="K151" s="355">
        <f t="shared" si="35"/>
        <v>0</v>
      </c>
      <c r="L151" s="355">
        <f t="shared" si="35"/>
        <v>81567000.299999997</v>
      </c>
      <c r="M151" s="355">
        <f t="shared" si="35"/>
        <v>66535156.829999998</v>
      </c>
      <c r="N151" s="355">
        <f t="shared" si="35"/>
        <v>15031843.470000001</v>
      </c>
      <c r="O151" s="336"/>
      <c r="P151" s="351"/>
    </row>
    <row r="152" spans="1:16" s="5" customFormat="1" ht="12" customHeight="1" thickTop="1" x14ac:dyDescent="0.2">
      <c r="A152" s="216"/>
      <c r="B152" s="373">
        <v>60015</v>
      </c>
      <c r="C152" s="282" t="s">
        <v>421</v>
      </c>
      <c r="D152" s="266">
        <f>SUM(E152,L152)</f>
        <v>93946706.299999997</v>
      </c>
      <c r="E152" s="266">
        <f>SUM(F152,I152:K152)</f>
        <v>12379706</v>
      </c>
      <c r="F152" s="266">
        <f>SUM(G152:H152)</f>
        <v>12379706</v>
      </c>
      <c r="G152" s="245">
        <v>0</v>
      </c>
      <c r="H152" s="245">
        <v>12379706</v>
      </c>
      <c r="I152" s="245">
        <v>0</v>
      </c>
      <c r="J152" s="245">
        <v>0</v>
      </c>
      <c r="K152" s="245">
        <v>0</v>
      </c>
      <c r="L152" s="266">
        <f>SUM(M152:N152)</f>
        <v>81567000.299999997</v>
      </c>
      <c r="M152" s="245">
        <v>66535156.829999998</v>
      </c>
      <c r="N152" s="245">
        <v>15031843.470000001</v>
      </c>
      <c r="O152" s="336"/>
      <c r="P152" s="351"/>
    </row>
    <row r="153" spans="1:16" s="5" customFormat="1" ht="12" customHeight="1" x14ac:dyDescent="0.2">
      <c r="A153" s="373"/>
      <c r="B153" s="373">
        <v>60095</v>
      </c>
      <c r="C153" s="282" t="s">
        <v>96</v>
      </c>
      <c r="D153" s="266">
        <f>SUM(E153,L153)</f>
        <v>1300</v>
      </c>
      <c r="E153" s="266">
        <f>SUM(F153,I153:K153)</f>
        <v>1300</v>
      </c>
      <c r="F153" s="266">
        <f>SUM(G153:H153)</f>
        <v>1300</v>
      </c>
      <c r="G153" s="245">
        <v>0</v>
      </c>
      <c r="H153" s="245">
        <v>1300</v>
      </c>
      <c r="I153" s="245">
        <v>0</v>
      </c>
      <c r="J153" s="245">
        <v>0</v>
      </c>
      <c r="K153" s="245">
        <v>0</v>
      </c>
      <c r="L153" s="266">
        <f>SUM(M153:N153)</f>
        <v>0</v>
      </c>
      <c r="M153" s="245">
        <v>0</v>
      </c>
      <c r="N153" s="245">
        <v>0</v>
      </c>
      <c r="O153" s="336"/>
      <c r="P153" s="351"/>
    </row>
    <row r="154" spans="1:16" s="5" customFormat="1" ht="12" customHeight="1" thickBot="1" x14ac:dyDescent="0.25">
      <c r="A154" s="342">
        <v>700</v>
      </c>
      <c r="B154" s="342"/>
      <c r="C154" s="1255" t="s">
        <v>29</v>
      </c>
      <c r="D154" s="355">
        <f>SUM(D155,)</f>
        <v>500</v>
      </c>
      <c r="E154" s="355">
        <f t="shared" ref="E154:N154" si="36">SUM(E155,)</f>
        <v>500</v>
      </c>
      <c r="F154" s="355">
        <f t="shared" si="36"/>
        <v>500</v>
      </c>
      <c r="G154" s="355">
        <f t="shared" si="36"/>
        <v>0</v>
      </c>
      <c r="H154" s="355">
        <f t="shared" si="36"/>
        <v>500</v>
      </c>
      <c r="I154" s="355">
        <f t="shared" si="36"/>
        <v>0</v>
      </c>
      <c r="J154" s="355">
        <f t="shared" si="36"/>
        <v>0</v>
      </c>
      <c r="K154" s="355">
        <f t="shared" si="36"/>
        <v>0</v>
      </c>
      <c r="L154" s="355">
        <f t="shared" si="36"/>
        <v>0</v>
      </c>
      <c r="M154" s="355">
        <f t="shared" si="36"/>
        <v>0</v>
      </c>
      <c r="N154" s="355">
        <f t="shared" si="36"/>
        <v>0</v>
      </c>
      <c r="O154" s="336"/>
      <c r="P154" s="351"/>
    </row>
    <row r="155" spans="1:16" s="5" customFormat="1" ht="12" customHeight="1" thickTop="1" x14ac:dyDescent="0.2">
      <c r="A155" s="373"/>
      <c r="B155" s="373">
        <v>70005</v>
      </c>
      <c r="C155" s="165" t="s">
        <v>177</v>
      </c>
      <c r="D155" s="256">
        <f>SUM(E155,L155)</f>
        <v>500</v>
      </c>
      <c r="E155" s="1258">
        <f>SUM(F155,I155:K155)</f>
        <v>500</v>
      </c>
      <c r="F155" s="256">
        <f>SUM(G155:H155)</f>
        <v>500</v>
      </c>
      <c r="G155" s="369">
        <v>0</v>
      </c>
      <c r="H155" s="369">
        <v>500</v>
      </c>
      <c r="I155" s="369">
        <v>0</v>
      </c>
      <c r="J155" s="247">
        <v>0</v>
      </c>
      <c r="K155" s="247">
        <v>0</v>
      </c>
      <c r="L155" s="256">
        <f>SUM(M155:N155)</f>
        <v>0</v>
      </c>
      <c r="M155" s="247">
        <v>0</v>
      </c>
      <c r="N155" s="247">
        <v>0</v>
      </c>
      <c r="O155" s="336"/>
      <c r="P155" s="351"/>
    </row>
    <row r="156" spans="1:16" s="5" customFormat="1" ht="12" customHeight="1" thickBot="1" x14ac:dyDescent="0.25">
      <c r="A156" s="342">
        <v>710</v>
      </c>
      <c r="B156" s="373"/>
      <c r="C156" s="1255" t="s">
        <v>31</v>
      </c>
      <c r="D156" s="355">
        <f>SUM(D157)</f>
        <v>78500</v>
      </c>
      <c r="E156" s="355">
        <f t="shared" ref="E156:N156" si="37">SUM(E157)</f>
        <v>78500</v>
      </c>
      <c r="F156" s="355">
        <f t="shared" si="37"/>
        <v>78500</v>
      </c>
      <c r="G156" s="355">
        <f t="shared" si="37"/>
        <v>0</v>
      </c>
      <c r="H156" s="355">
        <f t="shared" si="37"/>
        <v>78500</v>
      </c>
      <c r="I156" s="355">
        <f t="shared" si="37"/>
        <v>0</v>
      </c>
      <c r="J156" s="355">
        <f t="shared" si="37"/>
        <v>0</v>
      </c>
      <c r="K156" s="355">
        <f t="shared" si="37"/>
        <v>0</v>
      </c>
      <c r="L156" s="355">
        <f t="shared" si="37"/>
        <v>0</v>
      </c>
      <c r="M156" s="355">
        <f t="shared" si="37"/>
        <v>0</v>
      </c>
      <c r="N156" s="355">
        <f t="shared" si="37"/>
        <v>0</v>
      </c>
      <c r="O156" s="336"/>
      <c r="P156" s="351"/>
    </row>
    <row r="157" spans="1:16" s="5" customFormat="1" ht="12" customHeight="1" thickTop="1" x14ac:dyDescent="0.2">
      <c r="A157" s="373"/>
      <c r="B157" s="373">
        <v>71095</v>
      </c>
      <c r="C157" s="282" t="s">
        <v>96</v>
      </c>
      <c r="D157" s="266">
        <f>SUM(E157,L157)</f>
        <v>78500</v>
      </c>
      <c r="E157" s="266">
        <f>SUM(F157,I157:K157)</f>
        <v>78500</v>
      </c>
      <c r="F157" s="266">
        <f>SUM(G157:H157)</f>
        <v>78500</v>
      </c>
      <c r="G157" s="245">
        <v>0</v>
      </c>
      <c r="H157" s="245">
        <v>78500</v>
      </c>
      <c r="I157" s="245">
        <v>0</v>
      </c>
      <c r="J157" s="245">
        <v>0</v>
      </c>
      <c r="K157" s="245">
        <v>0</v>
      </c>
      <c r="L157" s="266">
        <f>SUM(M157:N157)</f>
        <v>0</v>
      </c>
      <c r="M157" s="245">
        <v>0</v>
      </c>
      <c r="N157" s="245">
        <v>0</v>
      </c>
      <c r="O157" s="336"/>
      <c r="P157" s="351"/>
    </row>
    <row r="158" spans="1:16" s="5" customFormat="1" ht="12" customHeight="1" thickBot="1" x14ac:dyDescent="0.25">
      <c r="A158" s="342">
        <v>750</v>
      </c>
      <c r="B158" s="342"/>
      <c r="C158" s="1255" t="s">
        <v>584</v>
      </c>
      <c r="D158" s="355">
        <f>SUM(D159:D161)</f>
        <v>13068667.5</v>
      </c>
      <c r="E158" s="355">
        <f t="shared" ref="E158:N158" si="38">SUM(E159:E161)</f>
        <v>12425969</v>
      </c>
      <c r="F158" s="355">
        <f t="shared" si="38"/>
        <v>12421119</v>
      </c>
      <c r="G158" s="355">
        <f t="shared" si="38"/>
        <v>9856190</v>
      </c>
      <c r="H158" s="355">
        <f t="shared" si="38"/>
        <v>2564929</v>
      </c>
      <c r="I158" s="355">
        <f t="shared" si="38"/>
        <v>0</v>
      </c>
      <c r="J158" s="355">
        <f t="shared" si="38"/>
        <v>4850</v>
      </c>
      <c r="K158" s="355">
        <f t="shared" si="38"/>
        <v>0</v>
      </c>
      <c r="L158" s="355">
        <f t="shared" si="38"/>
        <v>642698.5</v>
      </c>
      <c r="M158" s="355">
        <f t="shared" si="38"/>
        <v>0</v>
      </c>
      <c r="N158" s="355">
        <f t="shared" si="38"/>
        <v>642698.5</v>
      </c>
      <c r="O158" s="336"/>
      <c r="P158" s="351"/>
    </row>
    <row r="159" spans="1:16" s="5" customFormat="1" ht="12" customHeight="1" thickTop="1" x14ac:dyDescent="0.2">
      <c r="A159" s="342"/>
      <c r="B159" s="373">
        <v>75020</v>
      </c>
      <c r="C159" s="374" t="s">
        <v>431</v>
      </c>
      <c r="D159" s="254">
        <f>SUM(E159,L159)</f>
        <v>7770180</v>
      </c>
      <c r="E159" s="254">
        <f>SUM(F159,I159:K159)</f>
        <v>7770180</v>
      </c>
      <c r="F159" s="254">
        <f>SUM(G159:H159)</f>
        <v>7770180</v>
      </c>
      <c r="G159" s="352">
        <v>6080179</v>
      </c>
      <c r="H159" s="352">
        <v>1690001</v>
      </c>
      <c r="I159" s="352">
        <v>0</v>
      </c>
      <c r="J159" s="352">
        <v>0</v>
      </c>
      <c r="K159" s="352">
        <v>0</v>
      </c>
      <c r="L159" s="254">
        <f>SUM(M159:N159)</f>
        <v>0</v>
      </c>
      <c r="M159" s="352">
        <v>0</v>
      </c>
      <c r="N159" s="352">
        <v>0</v>
      </c>
      <c r="O159" s="336"/>
      <c r="P159" s="351"/>
    </row>
    <row r="160" spans="1:16" s="5" customFormat="1" ht="12" customHeight="1" x14ac:dyDescent="0.2">
      <c r="A160" s="373"/>
      <c r="B160" s="373">
        <v>75023</v>
      </c>
      <c r="C160" s="282" t="s">
        <v>228</v>
      </c>
      <c r="D160" s="266">
        <f>SUM(E160,L160)</f>
        <v>642698.5</v>
      </c>
      <c r="E160" s="266">
        <f>SUM(F160,I160:K160)</f>
        <v>0</v>
      </c>
      <c r="F160" s="266">
        <f>SUM(G160:H160)</f>
        <v>0</v>
      </c>
      <c r="G160" s="245">
        <v>0</v>
      </c>
      <c r="H160" s="245">
        <v>0</v>
      </c>
      <c r="I160" s="245">
        <v>0</v>
      </c>
      <c r="J160" s="245">
        <v>0</v>
      </c>
      <c r="K160" s="245">
        <v>0</v>
      </c>
      <c r="L160" s="266">
        <f>SUM(M160:N160)</f>
        <v>642698.5</v>
      </c>
      <c r="M160" s="245">
        <v>0</v>
      </c>
      <c r="N160" s="245">
        <v>642698.5</v>
      </c>
      <c r="O160" s="336"/>
      <c r="P160" s="351"/>
    </row>
    <row r="161" spans="1:16" s="5" customFormat="1" ht="12" customHeight="1" x14ac:dyDescent="0.2">
      <c r="A161" s="373"/>
      <c r="B161" s="373">
        <v>75085</v>
      </c>
      <c r="C161" s="282" t="s">
        <v>589</v>
      </c>
      <c r="D161" s="322">
        <f>SUM(E161,L161)</f>
        <v>4655789</v>
      </c>
      <c r="E161" s="322">
        <f>SUM(F161,I161:K161)</f>
        <v>4655789</v>
      </c>
      <c r="F161" s="322">
        <f>SUM(G161:H161)</f>
        <v>4650939</v>
      </c>
      <c r="G161" s="353">
        <v>3776011</v>
      </c>
      <c r="H161" s="353">
        <v>874928</v>
      </c>
      <c r="I161" s="353">
        <v>0</v>
      </c>
      <c r="J161" s="353">
        <v>4850</v>
      </c>
      <c r="K161" s="353">
        <v>0</v>
      </c>
      <c r="L161" s="322">
        <f>SUM(M161:N161)</f>
        <v>0</v>
      </c>
      <c r="M161" s="353">
        <v>0</v>
      </c>
      <c r="N161" s="353">
        <v>0</v>
      </c>
      <c r="O161" s="336"/>
      <c r="P161" s="351"/>
    </row>
    <row r="162" spans="1:16" s="5" customFormat="1" ht="12" customHeight="1" thickBot="1" x14ac:dyDescent="0.25">
      <c r="A162" s="342">
        <v>752</v>
      </c>
      <c r="B162" s="342"/>
      <c r="C162" s="370" t="s">
        <v>38</v>
      </c>
      <c r="D162" s="192">
        <f>SUM(D163)</f>
        <v>80000</v>
      </c>
      <c r="E162" s="192">
        <f t="shared" ref="E162:N162" si="39">SUM(E163)</f>
        <v>80000</v>
      </c>
      <c r="F162" s="192">
        <f t="shared" si="39"/>
        <v>80000</v>
      </c>
      <c r="G162" s="192">
        <f t="shared" si="39"/>
        <v>65000</v>
      </c>
      <c r="H162" s="192">
        <f t="shared" si="39"/>
        <v>15000</v>
      </c>
      <c r="I162" s="192">
        <f t="shared" si="39"/>
        <v>0</v>
      </c>
      <c r="J162" s="192">
        <f t="shared" si="39"/>
        <v>0</v>
      </c>
      <c r="K162" s="192">
        <f t="shared" si="39"/>
        <v>0</v>
      </c>
      <c r="L162" s="192">
        <f t="shared" si="39"/>
        <v>0</v>
      </c>
      <c r="M162" s="192">
        <f t="shared" si="39"/>
        <v>0</v>
      </c>
      <c r="N162" s="192">
        <f t="shared" si="39"/>
        <v>0</v>
      </c>
      <c r="O162" s="336"/>
      <c r="P162" s="351"/>
    </row>
    <row r="163" spans="1:16" s="5" customFormat="1" ht="12" customHeight="1" thickTop="1" x14ac:dyDescent="0.2">
      <c r="A163" s="373"/>
      <c r="B163" s="373">
        <v>75224</v>
      </c>
      <c r="C163" s="282" t="s">
        <v>437</v>
      </c>
      <c r="D163" s="266">
        <f>SUM(E163,L163)</f>
        <v>80000</v>
      </c>
      <c r="E163" s="266">
        <f>SUM(F163,I163:K163)</f>
        <v>80000</v>
      </c>
      <c r="F163" s="266">
        <f>SUM(G163:H163)</f>
        <v>80000</v>
      </c>
      <c r="G163" s="245">
        <v>65000</v>
      </c>
      <c r="H163" s="245">
        <v>15000</v>
      </c>
      <c r="I163" s="245">
        <v>0</v>
      </c>
      <c r="J163" s="245">
        <v>0</v>
      </c>
      <c r="K163" s="245">
        <v>0</v>
      </c>
      <c r="L163" s="266">
        <f>SUM(M163:N163)</f>
        <v>0</v>
      </c>
      <c r="M163" s="245">
        <v>0</v>
      </c>
      <c r="N163" s="245">
        <v>0</v>
      </c>
      <c r="O163" s="336"/>
      <c r="P163" s="351"/>
    </row>
    <row r="164" spans="1:16" s="5" customFormat="1" ht="12" customHeight="1" x14ac:dyDescent="0.2">
      <c r="A164" s="342">
        <v>754</v>
      </c>
      <c r="B164" s="373"/>
      <c r="C164" s="363" t="s">
        <v>244</v>
      </c>
      <c r="D164" s="1257"/>
      <c r="E164" s="1257"/>
      <c r="F164" s="359"/>
      <c r="G164" s="359"/>
      <c r="H164" s="359"/>
      <c r="I164" s="359"/>
      <c r="J164" s="359"/>
      <c r="K164" s="359"/>
      <c r="L164" s="359"/>
      <c r="M164" s="359"/>
      <c r="N164" s="359"/>
      <c r="O164" s="336"/>
      <c r="P164" s="351"/>
    </row>
    <row r="165" spans="1:16" s="5" customFormat="1" ht="12" customHeight="1" thickBot="1" x14ac:dyDescent="0.25">
      <c r="A165" s="216"/>
      <c r="B165" s="373"/>
      <c r="C165" s="1255" t="s">
        <v>41</v>
      </c>
      <c r="D165" s="355">
        <f>SUM(D166,D167,)</f>
        <v>187000</v>
      </c>
      <c r="E165" s="355">
        <f t="shared" ref="E165:N165" si="40">SUM(E166,E167,)</f>
        <v>187000</v>
      </c>
      <c r="F165" s="355">
        <f t="shared" si="40"/>
        <v>187000</v>
      </c>
      <c r="G165" s="355">
        <f t="shared" si="40"/>
        <v>0</v>
      </c>
      <c r="H165" s="355">
        <f t="shared" si="40"/>
        <v>187000</v>
      </c>
      <c r="I165" s="355">
        <f t="shared" si="40"/>
        <v>0</v>
      </c>
      <c r="J165" s="355">
        <f t="shared" si="40"/>
        <v>0</v>
      </c>
      <c r="K165" s="355">
        <f t="shared" si="40"/>
        <v>0</v>
      </c>
      <c r="L165" s="355">
        <f t="shared" si="40"/>
        <v>0</v>
      </c>
      <c r="M165" s="355">
        <f t="shared" si="40"/>
        <v>0</v>
      </c>
      <c r="N165" s="355">
        <f t="shared" si="40"/>
        <v>0</v>
      </c>
      <c r="O165" s="336"/>
      <c r="P165" s="351"/>
    </row>
    <row r="166" spans="1:16" s="5" customFormat="1" ht="12" customHeight="1" thickTop="1" x14ac:dyDescent="0.2">
      <c r="A166" s="207"/>
      <c r="B166" s="835">
        <v>75405</v>
      </c>
      <c r="C166" s="282" t="s">
        <v>650</v>
      </c>
      <c r="D166" s="266">
        <f>SUM(E166,L166)</f>
        <v>137000</v>
      </c>
      <c r="E166" s="266">
        <f>SUM(F166,I166:K166)</f>
        <v>137000</v>
      </c>
      <c r="F166" s="322">
        <f>SUM(G166:H166)</f>
        <v>137000</v>
      </c>
      <c r="G166" s="245">
        <v>0</v>
      </c>
      <c r="H166" s="245">
        <v>137000</v>
      </c>
      <c r="I166" s="245">
        <v>0</v>
      </c>
      <c r="J166" s="245">
        <v>0</v>
      </c>
      <c r="K166" s="245">
        <v>0</v>
      </c>
      <c r="L166" s="266">
        <f>SUM(M166:N166)</f>
        <v>0</v>
      </c>
      <c r="M166" s="245">
        <v>0</v>
      </c>
      <c r="N166" s="245">
        <v>0</v>
      </c>
      <c r="O166" s="336"/>
      <c r="P166" s="351"/>
    </row>
    <row r="167" spans="1:16" s="5" customFormat="1" ht="12" customHeight="1" x14ac:dyDescent="0.2">
      <c r="A167" s="1265"/>
      <c r="B167" s="1239">
        <v>75411</v>
      </c>
      <c r="C167" s="1256" t="s">
        <v>443</v>
      </c>
      <c r="D167" s="322">
        <f>SUM(E167,L167)</f>
        <v>50000</v>
      </c>
      <c r="E167" s="322">
        <f>SUM(F167,I167:K167)</f>
        <v>50000</v>
      </c>
      <c r="F167" s="322">
        <f>SUM(G167:H167)</f>
        <v>50000</v>
      </c>
      <c r="G167" s="353">
        <v>0</v>
      </c>
      <c r="H167" s="353">
        <v>50000</v>
      </c>
      <c r="I167" s="353">
        <v>0</v>
      </c>
      <c r="J167" s="353">
        <v>0</v>
      </c>
      <c r="K167" s="353">
        <v>0</v>
      </c>
      <c r="L167" s="322">
        <f>SUM(M167:N167)</f>
        <v>0</v>
      </c>
      <c r="M167" s="353">
        <v>0</v>
      </c>
      <c r="N167" s="353">
        <v>0</v>
      </c>
      <c r="O167" s="336"/>
      <c r="P167" s="351"/>
    </row>
    <row r="168" spans="1:16" s="5" customFormat="1" ht="12" customHeight="1" thickBot="1" x14ac:dyDescent="0.25">
      <c r="A168" s="342">
        <v>801</v>
      </c>
      <c r="B168" s="342"/>
      <c r="C168" s="1255" t="s">
        <v>51</v>
      </c>
      <c r="D168" s="355">
        <f>SUM(D169:D195)</f>
        <v>202751711.54999995</v>
      </c>
      <c r="E168" s="355">
        <f t="shared" ref="E168:N168" si="41">SUM(E169:E195)</f>
        <v>199661711.54999995</v>
      </c>
      <c r="F168" s="355">
        <f t="shared" si="41"/>
        <v>168357220.99999997</v>
      </c>
      <c r="G168" s="355">
        <f t="shared" si="41"/>
        <v>146591105.56</v>
      </c>
      <c r="H168" s="355">
        <f t="shared" si="41"/>
        <v>21766115.440000001</v>
      </c>
      <c r="I168" s="355">
        <f t="shared" si="41"/>
        <v>28512592.200000003</v>
      </c>
      <c r="J168" s="355">
        <f t="shared" si="41"/>
        <v>305852</v>
      </c>
      <c r="K168" s="355">
        <f t="shared" si="41"/>
        <v>2486046.35</v>
      </c>
      <c r="L168" s="355">
        <f>SUM(L169:L195)</f>
        <v>3090000</v>
      </c>
      <c r="M168" s="355">
        <f>SUM(M169:M195)</f>
        <v>3090000</v>
      </c>
      <c r="N168" s="355">
        <f t="shared" si="41"/>
        <v>0</v>
      </c>
      <c r="O168" s="336"/>
      <c r="P168" s="351"/>
    </row>
    <row r="169" spans="1:16" s="5" customFormat="1" ht="12" customHeight="1" thickTop="1" x14ac:dyDescent="0.2">
      <c r="A169" s="216"/>
      <c r="B169" s="373">
        <v>80102</v>
      </c>
      <c r="C169" s="282" t="s">
        <v>445</v>
      </c>
      <c r="D169" s="266">
        <f t="shared" ref="D169:D179" si="42">SUM(E169,L169)</f>
        <v>17395033.84</v>
      </c>
      <c r="E169" s="266">
        <f t="shared" ref="E169:E179" si="43">SUM(F169,I169:K169)</f>
        <v>17395033.84</v>
      </c>
      <c r="F169" s="266">
        <f t="shared" ref="F169:F179" si="44">SUM(G169:H169)</f>
        <v>17366458.84</v>
      </c>
      <c r="G169" s="245">
        <v>16352819.34</v>
      </c>
      <c r="H169" s="245">
        <v>1013639.5</v>
      </c>
      <c r="I169" s="245">
        <v>0</v>
      </c>
      <c r="J169" s="245">
        <v>28575</v>
      </c>
      <c r="K169" s="245">
        <v>0</v>
      </c>
      <c r="L169" s="266">
        <f t="shared" ref="L169:L179" si="45">SUM(M169:N169)</f>
        <v>0</v>
      </c>
      <c r="M169" s="245">
        <v>0</v>
      </c>
      <c r="N169" s="245">
        <v>0</v>
      </c>
      <c r="O169" s="336"/>
      <c r="P169" s="351"/>
    </row>
    <row r="170" spans="1:16" s="5" customFormat="1" ht="12" customHeight="1" x14ac:dyDescent="0.2">
      <c r="A170" s="373"/>
      <c r="B170" s="373">
        <v>80107</v>
      </c>
      <c r="C170" s="282" t="s">
        <v>604</v>
      </c>
      <c r="D170" s="266">
        <f t="shared" si="42"/>
        <v>1721685</v>
      </c>
      <c r="E170" s="322">
        <f t="shared" si="43"/>
        <v>1721685</v>
      </c>
      <c r="F170" s="322">
        <f t="shared" si="44"/>
        <v>1717685</v>
      </c>
      <c r="G170" s="245">
        <v>1683435</v>
      </c>
      <c r="H170" s="245">
        <v>34250</v>
      </c>
      <c r="I170" s="245">
        <v>0</v>
      </c>
      <c r="J170" s="245">
        <v>4000</v>
      </c>
      <c r="K170" s="245">
        <v>0</v>
      </c>
      <c r="L170" s="266">
        <f t="shared" si="45"/>
        <v>0</v>
      </c>
      <c r="M170" s="245">
        <v>0</v>
      </c>
      <c r="N170" s="245">
        <v>0</v>
      </c>
      <c r="O170" s="336"/>
      <c r="P170" s="351"/>
    </row>
    <row r="171" spans="1:16" s="5" customFormat="1" ht="12" customHeight="1" x14ac:dyDescent="0.2">
      <c r="A171" s="373"/>
      <c r="B171" s="373">
        <v>80113</v>
      </c>
      <c r="C171" s="282" t="s">
        <v>605</v>
      </c>
      <c r="D171" s="266">
        <f t="shared" si="42"/>
        <v>790671</v>
      </c>
      <c r="E171" s="322">
        <f t="shared" si="43"/>
        <v>790671</v>
      </c>
      <c r="F171" s="322">
        <f t="shared" si="44"/>
        <v>787371</v>
      </c>
      <c r="G171" s="245">
        <v>660928</v>
      </c>
      <c r="H171" s="245">
        <v>126443</v>
      </c>
      <c r="I171" s="245">
        <v>0</v>
      </c>
      <c r="J171" s="245">
        <v>3300</v>
      </c>
      <c r="K171" s="245">
        <v>0</v>
      </c>
      <c r="L171" s="266">
        <f t="shared" si="45"/>
        <v>0</v>
      </c>
      <c r="M171" s="245">
        <v>0</v>
      </c>
      <c r="N171" s="245">
        <v>0</v>
      </c>
      <c r="O171" s="336"/>
      <c r="P171" s="351"/>
    </row>
    <row r="172" spans="1:16" s="5" customFormat="1" ht="12" customHeight="1" x14ac:dyDescent="0.2">
      <c r="A172" s="373"/>
      <c r="B172" s="373">
        <v>80115</v>
      </c>
      <c r="C172" s="282" t="s">
        <v>447</v>
      </c>
      <c r="D172" s="266">
        <f t="shared" si="42"/>
        <v>64767617.719999999</v>
      </c>
      <c r="E172" s="322">
        <f t="shared" si="43"/>
        <v>64767617.719999999</v>
      </c>
      <c r="F172" s="322">
        <f t="shared" si="44"/>
        <v>60905519.280000001</v>
      </c>
      <c r="G172" s="245">
        <v>53244724.030000001</v>
      </c>
      <c r="H172" s="245">
        <v>7660795.25</v>
      </c>
      <c r="I172" s="245">
        <v>3756329.44</v>
      </c>
      <c r="J172" s="245">
        <v>105769</v>
      </c>
      <c r="K172" s="245">
        <v>0</v>
      </c>
      <c r="L172" s="266">
        <f t="shared" si="45"/>
        <v>0</v>
      </c>
      <c r="M172" s="245">
        <v>0</v>
      </c>
      <c r="N172" s="245">
        <v>0</v>
      </c>
      <c r="O172" s="336"/>
      <c r="P172" s="351"/>
    </row>
    <row r="173" spans="1:16" s="5" customFormat="1" ht="12" customHeight="1" x14ac:dyDescent="0.2">
      <c r="A173" s="373"/>
      <c r="B173" s="373">
        <v>80116</v>
      </c>
      <c r="C173" s="282" t="s">
        <v>651</v>
      </c>
      <c r="D173" s="266">
        <f t="shared" si="42"/>
        <v>10344816.280000001</v>
      </c>
      <c r="E173" s="322">
        <f t="shared" si="43"/>
        <v>10344816.280000001</v>
      </c>
      <c r="F173" s="322">
        <f t="shared" si="44"/>
        <v>1265096.98</v>
      </c>
      <c r="G173" s="245">
        <v>1143383.98</v>
      </c>
      <c r="H173" s="245">
        <v>121713</v>
      </c>
      <c r="I173" s="245">
        <v>9078519.3000000007</v>
      </c>
      <c r="J173" s="245">
        <v>1200</v>
      </c>
      <c r="K173" s="245">
        <v>0</v>
      </c>
      <c r="L173" s="266">
        <f t="shared" si="45"/>
        <v>0</v>
      </c>
      <c r="M173" s="245">
        <v>0</v>
      </c>
      <c r="N173" s="245">
        <v>0</v>
      </c>
      <c r="O173" s="336"/>
      <c r="P173" s="351"/>
    </row>
    <row r="174" spans="1:16" s="5" customFormat="1" ht="12" customHeight="1" x14ac:dyDescent="0.2">
      <c r="A174" s="373"/>
      <c r="B174" s="373">
        <v>80117</v>
      </c>
      <c r="C174" s="282" t="s">
        <v>652</v>
      </c>
      <c r="D174" s="266">
        <f t="shared" si="42"/>
        <v>12223748.640000001</v>
      </c>
      <c r="E174" s="322">
        <f t="shared" si="43"/>
        <v>12223748.640000001</v>
      </c>
      <c r="F174" s="322">
        <f t="shared" si="44"/>
        <v>7542657.46</v>
      </c>
      <c r="G174" s="245">
        <v>6085881.1600000001</v>
      </c>
      <c r="H174" s="245">
        <v>1456776.3</v>
      </c>
      <c r="I174" s="245">
        <v>4661408.18</v>
      </c>
      <c r="J174" s="245">
        <v>19683</v>
      </c>
      <c r="K174" s="245">
        <v>0</v>
      </c>
      <c r="L174" s="266">
        <f t="shared" si="45"/>
        <v>0</v>
      </c>
      <c r="M174" s="245">
        <v>0</v>
      </c>
      <c r="N174" s="245">
        <v>0</v>
      </c>
      <c r="O174" s="336"/>
      <c r="P174" s="351"/>
    </row>
    <row r="175" spans="1:16" s="5" customFormat="1" ht="12" customHeight="1" x14ac:dyDescent="0.2">
      <c r="A175" s="373"/>
      <c r="B175" s="373">
        <v>80118</v>
      </c>
      <c r="C175" s="282" t="s">
        <v>653</v>
      </c>
      <c r="D175" s="266">
        <f t="shared" si="42"/>
        <v>1866810</v>
      </c>
      <c r="E175" s="322">
        <f t="shared" si="43"/>
        <v>1866810</v>
      </c>
      <c r="F175" s="322">
        <f t="shared" si="44"/>
        <v>1866010</v>
      </c>
      <c r="G175" s="245">
        <v>1640023</v>
      </c>
      <c r="H175" s="245">
        <v>225987</v>
      </c>
      <c r="I175" s="245">
        <v>0</v>
      </c>
      <c r="J175" s="245">
        <v>800</v>
      </c>
      <c r="K175" s="245">
        <v>0</v>
      </c>
      <c r="L175" s="266">
        <f t="shared" si="45"/>
        <v>0</v>
      </c>
      <c r="M175" s="245">
        <v>0</v>
      </c>
      <c r="N175" s="245">
        <v>0</v>
      </c>
      <c r="O175" s="336"/>
      <c r="P175" s="351"/>
    </row>
    <row r="176" spans="1:16" s="5" customFormat="1" ht="12" customHeight="1" x14ac:dyDescent="0.2">
      <c r="A176" s="373"/>
      <c r="B176" s="373">
        <v>80120</v>
      </c>
      <c r="C176" s="1256" t="s">
        <v>449</v>
      </c>
      <c r="D176" s="322">
        <f t="shared" si="42"/>
        <v>44904793.959999993</v>
      </c>
      <c r="E176" s="322">
        <f t="shared" si="43"/>
        <v>44874793.959999993</v>
      </c>
      <c r="F176" s="322">
        <f t="shared" si="44"/>
        <v>36539839.659999996</v>
      </c>
      <c r="G176" s="353">
        <v>31578014.239999998</v>
      </c>
      <c r="H176" s="353">
        <v>4961825.42</v>
      </c>
      <c r="I176" s="353">
        <v>8257242.2999999998</v>
      </c>
      <c r="J176" s="353">
        <v>77712</v>
      </c>
      <c r="K176" s="353">
        <v>0</v>
      </c>
      <c r="L176" s="322">
        <f t="shared" si="45"/>
        <v>30000</v>
      </c>
      <c r="M176" s="353">
        <v>30000</v>
      </c>
      <c r="N176" s="353">
        <v>0</v>
      </c>
      <c r="O176" s="336"/>
      <c r="P176" s="351"/>
    </row>
    <row r="177" spans="1:16" s="5" customFormat="1" ht="12" customHeight="1" x14ac:dyDescent="0.2">
      <c r="A177" s="373"/>
      <c r="B177" s="373">
        <v>80122</v>
      </c>
      <c r="C177" s="282" t="s">
        <v>654</v>
      </c>
      <c r="D177" s="266">
        <f t="shared" si="42"/>
        <v>1298260</v>
      </c>
      <c r="E177" s="266">
        <f t="shared" si="43"/>
        <v>1298260</v>
      </c>
      <c r="F177" s="266">
        <f t="shared" si="44"/>
        <v>0</v>
      </c>
      <c r="G177" s="245">
        <v>0</v>
      </c>
      <c r="H177" s="245">
        <v>0</v>
      </c>
      <c r="I177" s="245">
        <v>1298260</v>
      </c>
      <c r="J177" s="245">
        <v>0</v>
      </c>
      <c r="K177" s="245">
        <v>0</v>
      </c>
      <c r="L177" s="266">
        <f t="shared" si="45"/>
        <v>0</v>
      </c>
      <c r="M177" s="245">
        <v>0</v>
      </c>
      <c r="N177" s="245">
        <v>0</v>
      </c>
      <c r="O177" s="336"/>
      <c r="P177" s="351"/>
    </row>
    <row r="178" spans="1:16" s="5" customFormat="1" ht="12" customHeight="1" x14ac:dyDescent="0.2">
      <c r="A178" s="373"/>
      <c r="B178" s="373">
        <v>80132</v>
      </c>
      <c r="C178" s="282" t="s">
        <v>451</v>
      </c>
      <c r="D178" s="266">
        <f t="shared" si="42"/>
        <v>8521457.1999999993</v>
      </c>
      <c r="E178" s="266">
        <f t="shared" si="43"/>
        <v>8521457.1999999993</v>
      </c>
      <c r="F178" s="266">
        <f t="shared" si="44"/>
        <v>8508957.1999999993</v>
      </c>
      <c r="G178" s="245">
        <v>7678997.1600000001</v>
      </c>
      <c r="H178" s="245">
        <v>829960.04</v>
      </c>
      <c r="I178" s="245">
        <v>0</v>
      </c>
      <c r="J178" s="245">
        <v>12500</v>
      </c>
      <c r="K178" s="245">
        <v>0</v>
      </c>
      <c r="L178" s="266">
        <f t="shared" si="45"/>
        <v>0</v>
      </c>
      <c r="M178" s="245">
        <v>0</v>
      </c>
      <c r="N178" s="245">
        <v>0</v>
      </c>
      <c r="O178" s="336"/>
      <c r="P178" s="351"/>
    </row>
    <row r="179" spans="1:16" s="5" customFormat="1" ht="12" customHeight="1" x14ac:dyDescent="0.2">
      <c r="A179" s="373"/>
      <c r="B179" s="373">
        <v>80134</v>
      </c>
      <c r="C179" s="282" t="s">
        <v>655</v>
      </c>
      <c r="D179" s="266">
        <f t="shared" si="42"/>
        <v>18345775.66</v>
      </c>
      <c r="E179" s="266">
        <f t="shared" si="43"/>
        <v>15285775.66</v>
      </c>
      <c r="F179" s="266">
        <f t="shared" si="44"/>
        <v>15263547.66</v>
      </c>
      <c r="G179" s="245">
        <v>13827205.82</v>
      </c>
      <c r="H179" s="245">
        <v>1436341.84</v>
      </c>
      <c r="I179" s="245">
        <v>0</v>
      </c>
      <c r="J179" s="245">
        <v>22228</v>
      </c>
      <c r="K179" s="245">
        <v>0</v>
      </c>
      <c r="L179" s="266">
        <f t="shared" si="45"/>
        <v>3060000</v>
      </c>
      <c r="M179" s="245">
        <v>3060000</v>
      </c>
      <c r="N179" s="245">
        <v>0</v>
      </c>
      <c r="O179" s="336"/>
      <c r="P179" s="351"/>
    </row>
    <row r="180" spans="1:16" s="5" customFormat="1" ht="12" customHeight="1" x14ac:dyDescent="0.2">
      <c r="A180" s="373"/>
      <c r="B180" s="373">
        <v>80140</v>
      </c>
      <c r="C180" s="165" t="s">
        <v>656</v>
      </c>
      <c r="D180" s="247"/>
      <c r="E180" s="247"/>
      <c r="F180" s="356"/>
      <c r="G180" s="356"/>
      <c r="H180" s="356"/>
      <c r="I180" s="356"/>
      <c r="J180" s="356"/>
      <c r="K180" s="247"/>
      <c r="L180" s="247"/>
      <c r="M180" s="247"/>
      <c r="N180" s="247"/>
      <c r="O180" s="336"/>
      <c r="P180" s="351"/>
    </row>
    <row r="181" spans="1:16" s="5" customFormat="1" ht="12" customHeight="1" x14ac:dyDescent="0.2">
      <c r="A181" s="373"/>
      <c r="B181" s="216"/>
      <c r="C181" s="282" t="s">
        <v>657</v>
      </c>
      <c r="D181" s="266">
        <f>SUM(E181,L181)</f>
        <v>5595661.3200000003</v>
      </c>
      <c r="E181" s="266">
        <f>SUM(F181,I181:K181)</f>
        <v>5595661.3200000003</v>
      </c>
      <c r="F181" s="266">
        <f>SUM(G181:H181)</f>
        <v>5582661.3200000003</v>
      </c>
      <c r="G181" s="245">
        <v>4152858.58</v>
      </c>
      <c r="H181" s="245">
        <v>1429802.74</v>
      </c>
      <c r="I181" s="245">
        <v>0</v>
      </c>
      <c r="J181" s="245">
        <v>13000</v>
      </c>
      <c r="K181" s="245">
        <v>0</v>
      </c>
      <c r="L181" s="266">
        <f>SUM(M181:N181)</f>
        <v>0</v>
      </c>
      <c r="M181" s="245">
        <v>0</v>
      </c>
      <c r="N181" s="245">
        <v>0</v>
      </c>
      <c r="O181" s="336"/>
      <c r="P181" s="351"/>
    </row>
    <row r="182" spans="1:16" s="5" customFormat="1" ht="22.5" customHeight="1" x14ac:dyDescent="0.2">
      <c r="A182" s="373"/>
      <c r="B182" s="1262" t="s">
        <v>658</v>
      </c>
      <c r="C182" s="240" t="s">
        <v>659</v>
      </c>
      <c r="D182" s="266">
        <f>SUM(E182,L182)</f>
        <v>174366.26</v>
      </c>
      <c r="E182" s="266">
        <f>SUM(F182,I182:K182)</f>
        <v>174366.26</v>
      </c>
      <c r="F182" s="266">
        <f>SUM(G182:H182)</f>
        <v>174366.26</v>
      </c>
      <c r="G182" s="245">
        <v>168419.26</v>
      </c>
      <c r="H182" s="245">
        <v>5947</v>
      </c>
      <c r="I182" s="245">
        <v>0</v>
      </c>
      <c r="J182" s="245">
        <v>0</v>
      </c>
      <c r="K182" s="245">
        <v>0</v>
      </c>
      <c r="L182" s="266">
        <f>SUM(M182:N182)</f>
        <v>0</v>
      </c>
      <c r="M182" s="245">
        <v>0</v>
      </c>
      <c r="N182" s="245">
        <v>0</v>
      </c>
      <c r="O182" s="336"/>
      <c r="P182" s="351"/>
    </row>
    <row r="183" spans="1:16" s="5" customFormat="1" ht="12" customHeight="1" x14ac:dyDescent="0.2">
      <c r="A183" s="373"/>
      <c r="B183" s="373">
        <v>80146</v>
      </c>
      <c r="C183" s="282" t="s">
        <v>458</v>
      </c>
      <c r="D183" s="266">
        <f>SUM(E183,L183)</f>
        <v>1081245.75</v>
      </c>
      <c r="E183" s="322">
        <f>SUM(F183,I183:K183)</f>
        <v>1081245.75</v>
      </c>
      <c r="F183" s="322">
        <f>SUM(G183:H183)</f>
        <v>1081245.75</v>
      </c>
      <c r="G183" s="245">
        <v>667717</v>
      </c>
      <c r="H183" s="245">
        <v>413528.75</v>
      </c>
      <c r="I183" s="245">
        <v>0</v>
      </c>
      <c r="J183" s="245">
        <v>0</v>
      </c>
      <c r="K183" s="245">
        <v>0</v>
      </c>
      <c r="L183" s="266">
        <f>SUM(M183:N183)</f>
        <v>0</v>
      </c>
      <c r="M183" s="245">
        <v>0</v>
      </c>
      <c r="N183" s="245">
        <v>0</v>
      </c>
      <c r="O183" s="336"/>
      <c r="P183" s="351"/>
    </row>
    <row r="184" spans="1:16" s="5" customFormat="1" ht="12" customHeight="1" x14ac:dyDescent="0.2">
      <c r="A184" s="373"/>
      <c r="B184" s="373">
        <v>80148</v>
      </c>
      <c r="C184" s="1256" t="s">
        <v>606</v>
      </c>
      <c r="D184" s="322">
        <f>SUM(E184,L184)</f>
        <v>557172</v>
      </c>
      <c r="E184" s="322">
        <f>SUM(F184,I184:K184)</f>
        <v>557172</v>
      </c>
      <c r="F184" s="322">
        <f>SUM(G184:H184)</f>
        <v>554872</v>
      </c>
      <c r="G184" s="353">
        <v>357111</v>
      </c>
      <c r="H184" s="353">
        <v>197761</v>
      </c>
      <c r="I184" s="353">
        <v>0</v>
      </c>
      <c r="J184" s="353">
        <v>2300</v>
      </c>
      <c r="K184" s="353">
        <v>0</v>
      </c>
      <c r="L184" s="322">
        <f>SUM(M184:N184)</f>
        <v>0</v>
      </c>
      <c r="M184" s="353">
        <v>0</v>
      </c>
      <c r="N184" s="353">
        <v>0</v>
      </c>
      <c r="O184" s="336"/>
      <c r="P184" s="351"/>
    </row>
    <row r="185" spans="1:16" s="5" customFormat="1" ht="12" customHeight="1" x14ac:dyDescent="0.2">
      <c r="A185" s="373"/>
      <c r="B185" s="373">
        <v>80151</v>
      </c>
      <c r="C185" s="371" t="s">
        <v>660</v>
      </c>
      <c r="D185" s="256">
        <f>SUM(E185,L185)</f>
        <v>644580.79</v>
      </c>
      <c r="E185" s="256">
        <f>SUM(F185,I185:K185)</f>
        <v>644580.79</v>
      </c>
      <c r="F185" s="283">
        <f>SUM(G185:H185)</f>
        <v>589588.5</v>
      </c>
      <c r="G185" s="247">
        <v>524293.4</v>
      </c>
      <c r="H185" s="247">
        <v>65295.1</v>
      </c>
      <c r="I185" s="247">
        <v>54992.29</v>
      </c>
      <c r="J185" s="247">
        <v>0</v>
      </c>
      <c r="K185" s="247">
        <v>0</v>
      </c>
      <c r="L185" s="256">
        <f>SUM(M185:N185)</f>
        <v>0</v>
      </c>
      <c r="M185" s="247">
        <v>0</v>
      </c>
      <c r="N185" s="247">
        <v>0</v>
      </c>
      <c r="O185" s="336"/>
      <c r="P185" s="351"/>
    </row>
    <row r="186" spans="1:16" s="5" customFormat="1" ht="12" customHeight="1" x14ac:dyDescent="0.2">
      <c r="A186" s="373"/>
      <c r="B186" s="373">
        <v>80152</v>
      </c>
      <c r="C186" s="371" t="s">
        <v>607</v>
      </c>
      <c r="D186" s="256"/>
      <c r="E186" s="256"/>
      <c r="F186" s="357"/>
      <c r="G186" s="356"/>
      <c r="H186" s="356"/>
      <c r="I186" s="356"/>
      <c r="J186" s="356"/>
      <c r="K186" s="356"/>
      <c r="L186" s="357"/>
      <c r="M186" s="356"/>
      <c r="N186" s="356"/>
      <c r="O186" s="336"/>
      <c r="P186" s="351"/>
    </row>
    <row r="187" spans="1:16" s="5" customFormat="1" ht="12" customHeight="1" x14ac:dyDescent="0.2">
      <c r="A187" s="373"/>
      <c r="B187" s="373"/>
      <c r="C187" s="371" t="s">
        <v>608</v>
      </c>
      <c r="D187" s="256"/>
      <c r="E187" s="256"/>
      <c r="F187" s="357"/>
      <c r="G187" s="356"/>
      <c r="H187" s="356"/>
      <c r="I187" s="356"/>
      <c r="J187" s="356"/>
      <c r="K187" s="356"/>
      <c r="L187" s="357"/>
      <c r="M187" s="356"/>
      <c r="N187" s="356"/>
      <c r="O187" s="336"/>
      <c r="P187" s="351"/>
    </row>
    <row r="188" spans="1:16" s="5" customFormat="1" ht="12" customHeight="1" x14ac:dyDescent="0.2">
      <c r="A188" s="373"/>
      <c r="B188" s="373"/>
      <c r="C188" s="371" t="s">
        <v>661</v>
      </c>
      <c r="D188" s="256"/>
      <c r="E188" s="256"/>
      <c r="F188" s="357"/>
      <c r="G188" s="356"/>
      <c r="H188" s="356"/>
      <c r="I188" s="356"/>
      <c r="J188" s="356"/>
      <c r="K188" s="356"/>
      <c r="L188" s="357"/>
      <c r="M188" s="356"/>
      <c r="N188" s="356"/>
      <c r="O188" s="336"/>
      <c r="P188" s="351"/>
    </row>
    <row r="189" spans="1:16" s="5" customFormat="1" ht="12" customHeight="1" x14ac:dyDescent="0.2">
      <c r="A189" s="373"/>
      <c r="B189" s="373"/>
      <c r="C189" s="371" t="s">
        <v>662</v>
      </c>
      <c r="D189" s="256"/>
      <c r="E189" s="256"/>
      <c r="F189" s="357"/>
      <c r="G189" s="356"/>
      <c r="H189" s="356"/>
      <c r="I189" s="356"/>
      <c r="J189" s="356"/>
      <c r="K189" s="356"/>
      <c r="L189" s="357"/>
      <c r="M189" s="356"/>
      <c r="N189" s="356"/>
      <c r="O189" s="336"/>
      <c r="P189" s="351"/>
    </row>
    <row r="190" spans="1:16" s="5" customFormat="1" ht="12" customHeight="1" x14ac:dyDescent="0.2">
      <c r="A190" s="373"/>
      <c r="B190" s="373"/>
      <c r="C190" s="371" t="s">
        <v>663</v>
      </c>
      <c r="D190" s="256"/>
      <c r="E190" s="256"/>
      <c r="F190" s="357"/>
      <c r="G190" s="356"/>
      <c r="H190" s="356"/>
      <c r="I190" s="356"/>
      <c r="J190" s="356"/>
      <c r="K190" s="356"/>
      <c r="L190" s="357"/>
      <c r="M190" s="356"/>
      <c r="N190" s="356"/>
      <c r="O190" s="336"/>
      <c r="P190" s="351"/>
    </row>
    <row r="191" spans="1:16" s="5" customFormat="1" ht="12" customHeight="1" x14ac:dyDescent="0.2">
      <c r="A191" s="373"/>
      <c r="B191" s="373"/>
      <c r="C191" s="371" t="s">
        <v>664</v>
      </c>
      <c r="D191" s="256"/>
      <c r="E191" s="256"/>
      <c r="F191" s="357"/>
      <c r="G191" s="356"/>
      <c r="H191" s="356"/>
      <c r="I191" s="356"/>
      <c r="J191" s="356"/>
      <c r="K191" s="356"/>
      <c r="L191" s="357"/>
      <c r="M191" s="356"/>
      <c r="N191" s="356"/>
      <c r="O191" s="336"/>
      <c r="P191" s="351"/>
    </row>
    <row r="192" spans="1:16" s="5" customFormat="1" ht="12" customHeight="1" x14ac:dyDescent="0.2">
      <c r="A192" s="373"/>
      <c r="B192" s="373"/>
      <c r="C192" s="371" t="s">
        <v>665</v>
      </c>
      <c r="D192" s="256"/>
      <c r="E192" s="256"/>
      <c r="F192" s="357"/>
      <c r="G192" s="356"/>
      <c r="H192" s="356"/>
      <c r="I192" s="356"/>
      <c r="J192" s="356"/>
      <c r="K192" s="356"/>
      <c r="L192" s="357"/>
      <c r="M192" s="356"/>
      <c r="N192" s="356"/>
      <c r="O192" s="336"/>
      <c r="P192" s="351"/>
    </row>
    <row r="193" spans="1:16" s="5" customFormat="1" ht="12" customHeight="1" x14ac:dyDescent="0.2">
      <c r="A193" s="373"/>
      <c r="B193" s="373"/>
      <c r="C193" s="371" t="s">
        <v>666</v>
      </c>
      <c r="D193" s="256"/>
      <c r="E193" s="256"/>
      <c r="F193" s="357"/>
      <c r="G193" s="356"/>
      <c r="H193" s="356"/>
      <c r="I193" s="356"/>
      <c r="J193" s="356"/>
      <c r="K193" s="356"/>
      <c r="L193" s="357"/>
      <c r="M193" s="356"/>
      <c r="N193" s="356"/>
      <c r="O193" s="336"/>
      <c r="P193" s="351"/>
    </row>
    <row r="194" spans="1:16" s="5" customFormat="1" ht="12" customHeight="1" x14ac:dyDescent="0.2">
      <c r="A194" s="373"/>
      <c r="B194" s="373"/>
      <c r="C194" s="372" t="s">
        <v>667</v>
      </c>
      <c r="D194" s="266">
        <f>SUM(E194,L194)</f>
        <v>7880593.4499999993</v>
      </c>
      <c r="E194" s="266">
        <f>SUM(F194,I194:K194)</f>
        <v>7880593.4499999993</v>
      </c>
      <c r="F194" s="266">
        <f>SUM(G194:H194)</f>
        <v>6473752.7599999998</v>
      </c>
      <c r="G194" s="245">
        <v>6058113.2599999998</v>
      </c>
      <c r="H194" s="245">
        <v>415639.5</v>
      </c>
      <c r="I194" s="245">
        <v>1405840.69</v>
      </c>
      <c r="J194" s="245">
        <v>1000</v>
      </c>
      <c r="K194" s="245">
        <v>0</v>
      </c>
      <c r="L194" s="266">
        <f>SUM(M194:N194)</f>
        <v>0</v>
      </c>
      <c r="M194" s="245">
        <v>0</v>
      </c>
      <c r="N194" s="245">
        <v>0</v>
      </c>
      <c r="O194" s="336"/>
      <c r="P194" s="351"/>
    </row>
    <row r="195" spans="1:16" s="5" customFormat="1" ht="12" customHeight="1" x14ac:dyDescent="0.2">
      <c r="A195" s="373"/>
      <c r="B195" s="373">
        <v>80195</v>
      </c>
      <c r="C195" s="282" t="s">
        <v>96</v>
      </c>
      <c r="D195" s="266">
        <f>SUM(E195,L195)</f>
        <v>4637422.68</v>
      </c>
      <c r="E195" s="266">
        <f>SUM(F195,I195:K195)</f>
        <v>4637422.68</v>
      </c>
      <c r="F195" s="322">
        <f>SUM(G195:H195)</f>
        <v>2137591.33</v>
      </c>
      <c r="G195" s="245">
        <v>767181.33</v>
      </c>
      <c r="H195" s="245">
        <v>1370410</v>
      </c>
      <c r="I195" s="245">
        <v>0</v>
      </c>
      <c r="J195" s="245">
        <v>13785</v>
      </c>
      <c r="K195" s="245">
        <v>2486046.35</v>
      </c>
      <c r="L195" s="266">
        <f>SUM(M195:N195)</f>
        <v>0</v>
      </c>
      <c r="M195" s="245">
        <v>0</v>
      </c>
      <c r="N195" s="245">
        <v>0</v>
      </c>
      <c r="O195" s="336"/>
      <c r="P195" s="351"/>
    </row>
    <row r="196" spans="1:16" s="5" customFormat="1" ht="12" customHeight="1" thickBot="1" x14ac:dyDescent="0.25">
      <c r="A196" s="342">
        <v>852</v>
      </c>
      <c r="B196" s="342"/>
      <c r="C196" s="1255" t="s">
        <v>1331</v>
      </c>
      <c r="D196" s="355">
        <f t="shared" ref="D196:N196" si="46">SUM(D197:D197)</f>
        <v>280999.52</v>
      </c>
      <c r="E196" s="355">
        <f t="shared" si="46"/>
        <v>280999.52</v>
      </c>
      <c r="F196" s="355">
        <f t="shared" si="46"/>
        <v>0</v>
      </c>
      <c r="G196" s="355">
        <f t="shared" si="46"/>
        <v>0</v>
      </c>
      <c r="H196" s="355">
        <f t="shared" si="46"/>
        <v>0</v>
      </c>
      <c r="I196" s="355">
        <f t="shared" si="46"/>
        <v>0</v>
      </c>
      <c r="J196" s="355">
        <f t="shared" si="46"/>
        <v>0</v>
      </c>
      <c r="K196" s="355">
        <f t="shared" si="46"/>
        <v>280999.52</v>
      </c>
      <c r="L196" s="355">
        <f t="shared" si="46"/>
        <v>0</v>
      </c>
      <c r="M196" s="355">
        <f t="shared" si="46"/>
        <v>0</v>
      </c>
      <c r="N196" s="355">
        <f t="shared" si="46"/>
        <v>0</v>
      </c>
      <c r="O196" s="336"/>
      <c r="P196" s="351"/>
    </row>
    <row r="197" spans="1:16" s="5" customFormat="1" ht="12" customHeight="1" thickTop="1" x14ac:dyDescent="0.2">
      <c r="A197" s="373"/>
      <c r="B197" s="373">
        <v>85295</v>
      </c>
      <c r="C197" s="282" t="s">
        <v>96</v>
      </c>
      <c r="D197" s="266">
        <f>SUM(E197,L197)</f>
        <v>280999.52</v>
      </c>
      <c r="E197" s="266">
        <f>SUM(F197,I197:K197)</f>
        <v>280999.52</v>
      </c>
      <c r="F197" s="322">
        <f>SUM(G197:H197)</f>
        <v>0</v>
      </c>
      <c r="G197" s="245">
        <v>0</v>
      </c>
      <c r="H197" s="245">
        <v>0</v>
      </c>
      <c r="I197" s="245">
        <v>0</v>
      </c>
      <c r="J197" s="245">
        <v>0</v>
      </c>
      <c r="K197" s="245">
        <v>280999.52</v>
      </c>
      <c r="L197" s="266">
        <f>SUM(M197:N197)</f>
        <v>0</v>
      </c>
      <c r="M197" s="245">
        <v>0</v>
      </c>
      <c r="N197" s="245">
        <v>0</v>
      </c>
      <c r="O197" s="336"/>
      <c r="P197" s="351"/>
    </row>
    <row r="198" spans="1:16" s="5" customFormat="1" ht="12" customHeight="1" x14ac:dyDescent="0.2">
      <c r="A198" s="342">
        <v>853</v>
      </c>
      <c r="B198" s="342"/>
      <c r="C198" s="363" t="s">
        <v>73</v>
      </c>
      <c r="D198" s="251"/>
      <c r="E198" s="251"/>
      <c r="F198" s="364"/>
      <c r="G198" s="365"/>
      <c r="H198" s="365"/>
      <c r="I198" s="365"/>
      <c r="J198" s="365"/>
      <c r="K198" s="365"/>
      <c r="L198" s="364"/>
      <c r="M198" s="365"/>
      <c r="N198" s="365"/>
      <c r="O198" s="336"/>
      <c r="P198" s="351"/>
    </row>
    <row r="199" spans="1:16" s="5" customFormat="1" ht="12" customHeight="1" thickBot="1" x14ac:dyDescent="0.25">
      <c r="A199" s="342"/>
      <c r="B199" s="342"/>
      <c r="C199" s="1255" t="s">
        <v>74</v>
      </c>
      <c r="D199" s="355">
        <f t="shared" ref="D199:N199" si="47">SUM(D200:D203)</f>
        <v>5827732</v>
      </c>
      <c r="E199" s="355">
        <f t="shared" si="47"/>
        <v>5827732</v>
      </c>
      <c r="F199" s="355">
        <f t="shared" si="47"/>
        <v>443723</v>
      </c>
      <c r="G199" s="355">
        <f t="shared" si="47"/>
        <v>333016</v>
      </c>
      <c r="H199" s="355">
        <f t="shared" si="47"/>
        <v>110707</v>
      </c>
      <c r="I199" s="355">
        <f t="shared" si="47"/>
        <v>5383409</v>
      </c>
      <c r="J199" s="355">
        <f t="shared" si="47"/>
        <v>600</v>
      </c>
      <c r="K199" s="355">
        <f t="shared" si="47"/>
        <v>0</v>
      </c>
      <c r="L199" s="355">
        <f t="shared" si="47"/>
        <v>0</v>
      </c>
      <c r="M199" s="355">
        <f t="shared" si="47"/>
        <v>0</v>
      </c>
      <c r="N199" s="355">
        <f t="shared" si="47"/>
        <v>0</v>
      </c>
      <c r="O199" s="336"/>
      <c r="P199" s="351"/>
    </row>
    <row r="200" spans="1:16" s="5" customFormat="1" ht="12" customHeight="1" thickTop="1" x14ac:dyDescent="0.2">
      <c r="A200" s="216"/>
      <c r="B200" s="373">
        <v>85311</v>
      </c>
      <c r="C200" s="165" t="s">
        <v>668</v>
      </c>
      <c r="D200" s="247"/>
      <c r="E200" s="247"/>
      <c r="F200" s="356"/>
      <c r="G200" s="356"/>
      <c r="H200" s="356"/>
      <c r="I200" s="356"/>
      <c r="J200" s="356"/>
      <c r="K200" s="356"/>
      <c r="L200" s="356"/>
      <c r="M200" s="356"/>
      <c r="N200" s="356"/>
      <c r="O200" s="336"/>
      <c r="P200" s="351"/>
    </row>
    <row r="201" spans="1:16" s="5" customFormat="1" ht="12" customHeight="1" x14ac:dyDescent="0.2">
      <c r="A201" s="216"/>
      <c r="B201" s="373"/>
      <c r="C201" s="282" t="s">
        <v>475</v>
      </c>
      <c r="D201" s="266">
        <f>SUM(E201,L201)</f>
        <v>293325</v>
      </c>
      <c r="E201" s="266">
        <f>SUM(F201,I201:K201)</f>
        <v>293325</v>
      </c>
      <c r="F201" s="266">
        <f>SUM(G201:H201)</f>
        <v>0</v>
      </c>
      <c r="G201" s="245">
        <v>0</v>
      </c>
      <c r="H201" s="245">
        <v>0</v>
      </c>
      <c r="I201" s="245">
        <v>293325</v>
      </c>
      <c r="J201" s="245">
        <v>0</v>
      </c>
      <c r="K201" s="245">
        <v>0</v>
      </c>
      <c r="L201" s="266">
        <f>SUM(M201:N201)</f>
        <v>0</v>
      </c>
      <c r="M201" s="245">
        <v>0</v>
      </c>
      <c r="N201" s="245">
        <v>0</v>
      </c>
      <c r="O201" s="336"/>
      <c r="P201" s="351"/>
    </row>
    <row r="202" spans="1:16" s="5" customFormat="1" ht="12" customHeight="1" x14ac:dyDescent="0.2">
      <c r="A202" s="216"/>
      <c r="B202" s="373">
        <v>85321</v>
      </c>
      <c r="C202" s="282" t="s">
        <v>481</v>
      </c>
      <c r="D202" s="266">
        <f>SUM(E202,L202)</f>
        <v>444323</v>
      </c>
      <c r="E202" s="266">
        <f>SUM(F202,I202:K202)</f>
        <v>444323</v>
      </c>
      <c r="F202" s="266">
        <f>SUM(G202:H202)</f>
        <v>443723</v>
      </c>
      <c r="G202" s="245">
        <v>333016</v>
      </c>
      <c r="H202" s="245">
        <v>110707</v>
      </c>
      <c r="I202" s="245">
        <v>0</v>
      </c>
      <c r="J202" s="245">
        <v>600</v>
      </c>
      <c r="K202" s="245">
        <v>0</v>
      </c>
      <c r="L202" s="266">
        <f>SUM(M202:N202)</f>
        <v>0</v>
      </c>
      <c r="M202" s="245">
        <v>0</v>
      </c>
      <c r="N202" s="245">
        <v>0</v>
      </c>
      <c r="O202" s="336"/>
      <c r="P202" s="351"/>
    </row>
    <row r="203" spans="1:16" s="5" customFormat="1" ht="12" customHeight="1" x14ac:dyDescent="0.2">
      <c r="A203" s="216"/>
      <c r="B203" s="373">
        <v>85333</v>
      </c>
      <c r="C203" s="282" t="s">
        <v>669</v>
      </c>
      <c r="D203" s="266">
        <f>SUM(E203,L203)</f>
        <v>5090084</v>
      </c>
      <c r="E203" s="266">
        <f>SUM(F203,I203:K203)</f>
        <v>5090084</v>
      </c>
      <c r="F203" s="266">
        <f>SUM(G203:H203)</f>
        <v>0</v>
      </c>
      <c r="G203" s="245">
        <v>0</v>
      </c>
      <c r="H203" s="245">
        <v>0</v>
      </c>
      <c r="I203" s="245">
        <v>5090084</v>
      </c>
      <c r="J203" s="245">
        <v>0</v>
      </c>
      <c r="K203" s="245">
        <v>0</v>
      </c>
      <c r="L203" s="266">
        <f>SUM(M203:N203)</f>
        <v>0</v>
      </c>
      <c r="M203" s="245">
        <v>0</v>
      </c>
      <c r="N203" s="245">
        <v>0</v>
      </c>
      <c r="O203" s="336"/>
      <c r="P203" s="351"/>
    </row>
    <row r="204" spans="1:16" s="5" customFormat="1" ht="12" customHeight="1" thickBot="1" x14ac:dyDescent="0.25">
      <c r="A204" s="342">
        <v>854</v>
      </c>
      <c r="B204" s="342"/>
      <c r="C204" s="1255" t="s">
        <v>59</v>
      </c>
      <c r="D204" s="355">
        <f t="shared" ref="D204:N204" si="48">SUM(D205:D212)</f>
        <v>35124441.200000003</v>
      </c>
      <c r="E204" s="355">
        <f t="shared" si="48"/>
        <v>21907441.199999999</v>
      </c>
      <c r="F204" s="355">
        <f t="shared" si="48"/>
        <v>19032745.18</v>
      </c>
      <c r="G204" s="355">
        <f t="shared" si="48"/>
        <v>15422409.379999999</v>
      </c>
      <c r="H204" s="355">
        <f t="shared" si="48"/>
        <v>3610335.8</v>
      </c>
      <c r="I204" s="355">
        <f t="shared" si="48"/>
        <v>2827901.02</v>
      </c>
      <c r="J204" s="355">
        <f t="shared" si="48"/>
        <v>46795</v>
      </c>
      <c r="K204" s="355">
        <f t="shared" si="48"/>
        <v>0</v>
      </c>
      <c r="L204" s="355">
        <f t="shared" si="48"/>
        <v>13217000</v>
      </c>
      <c r="M204" s="355">
        <f t="shared" si="48"/>
        <v>1217000</v>
      </c>
      <c r="N204" s="355">
        <f t="shared" si="48"/>
        <v>12000000</v>
      </c>
      <c r="O204" s="336"/>
      <c r="P204" s="351"/>
    </row>
    <row r="205" spans="1:16" s="5" customFormat="1" ht="12" customHeight="1" thickTop="1" x14ac:dyDescent="0.2">
      <c r="A205" s="342"/>
      <c r="B205" s="373">
        <v>85402</v>
      </c>
      <c r="C205" s="374" t="s">
        <v>670</v>
      </c>
      <c r="D205" s="254">
        <f>SUM(E205,L205)</f>
        <v>1138913.0900000001</v>
      </c>
      <c r="E205" s="254">
        <f>SUM(F205,I205:K205)</f>
        <v>1138913.0900000001</v>
      </c>
      <c r="F205" s="254">
        <f>SUM(G205:H205)</f>
        <v>0</v>
      </c>
      <c r="G205" s="352">
        <v>0</v>
      </c>
      <c r="H205" s="352">
        <v>0</v>
      </c>
      <c r="I205" s="352">
        <v>1138913.0900000001</v>
      </c>
      <c r="J205" s="352">
        <v>0</v>
      </c>
      <c r="K205" s="352">
        <v>0</v>
      </c>
      <c r="L205" s="254">
        <f>SUM(M205:N205)</f>
        <v>0</v>
      </c>
      <c r="M205" s="352">
        <v>0</v>
      </c>
      <c r="N205" s="352">
        <v>0</v>
      </c>
      <c r="O205" s="336"/>
      <c r="P205" s="351"/>
    </row>
    <row r="206" spans="1:16" s="5" customFormat="1" ht="12" customHeight="1" x14ac:dyDescent="0.2">
      <c r="A206" s="207"/>
      <c r="B206" s="835">
        <v>85404</v>
      </c>
      <c r="C206" s="282" t="s">
        <v>627</v>
      </c>
      <c r="D206" s="266">
        <f>SUM(E206,L206)</f>
        <v>582677</v>
      </c>
      <c r="E206" s="266">
        <f>SUM(F206,I206:K206)</f>
        <v>582677</v>
      </c>
      <c r="F206" s="266">
        <f>SUM(G206:H206)</f>
        <v>582677</v>
      </c>
      <c r="G206" s="245">
        <v>574982</v>
      </c>
      <c r="H206" s="245">
        <v>7695</v>
      </c>
      <c r="I206" s="245">
        <v>0</v>
      </c>
      <c r="J206" s="245">
        <v>0</v>
      </c>
      <c r="K206" s="245">
        <v>0</v>
      </c>
      <c r="L206" s="266">
        <f>SUM(M206:N206)</f>
        <v>0</v>
      </c>
      <c r="M206" s="245">
        <v>0</v>
      </c>
      <c r="N206" s="245">
        <v>0</v>
      </c>
      <c r="O206" s="336"/>
      <c r="P206" s="351"/>
    </row>
    <row r="207" spans="1:16" s="5" customFormat="1" ht="12" customHeight="1" x14ac:dyDescent="0.2">
      <c r="A207" s="1265"/>
      <c r="B207" s="1239">
        <v>85406</v>
      </c>
      <c r="C207" s="1238" t="s">
        <v>485</v>
      </c>
      <c r="D207" s="246"/>
      <c r="E207" s="283"/>
      <c r="F207" s="358"/>
      <c r="G207" s="358"/>
      <c r="H207" s="358"/>
      <c r="I207" s="358"/>
      <c r="J207" s="358"/>
      <c r="K207" s="246"/>
      <c r="L207" s="283"/>
      <c r="M207" s="246"/>
      <c r="N207" s="246"/>
      <c r="O207" s="336"/>
      <c r="P207" s="351"/>
    </row>
    <row r="208" spans="1:16" s="5" customFormat="1" ht="12" customHeight="1" x14ac:dyDescent="0.2">
      <c r="A208" s="216"/>
      <c r="B208" s="216"/>
      <c r="C208" s="282" t="s">
        <v>486</v>
      </c>
      <c r="D208" s="266">
        <f>SUM(E208,L208)</f>
        <v>6225559.5199999996</v>
      </c>
      <c r="E208" s="266">
        <f>SUM(F208,I208:K208)</f>
        <v>6225559.5199999996</v>
      </c>
      <c r="F208" s="266">
        <f>SUM(G208:H208)</f>
        <v>6099254.5</v>
      </c>
      <c r="G208" s="245">
        <v>5563195.0999999996</v>
      </c>
      <c r="H208" s="245">
        <v>536059.4</v>
      </c>
      <c r="I208" s="245">
        <v>123905.02</v>
      </c>
      <c r="J208" s="245">
        <v>2400</v>
      </c>
      <c r="K208" s="245">
        <v>0</v>
      </c>
      <c r="L208" s="266">
        <f>SUM(M208:N208)</f>
        <v>0</v>
      </c>
      <c r="M208" s="245">
        <v>0</v>
      </c>
      <c r="N208" s="245">
        <v>0</v>
      </c>
      <c r="O208" s="336"/>
      <c r="P208" s="351"/>
    </row>
    <row r="209" spans="1:16" s="5" customFormat="1" ht="12" customHeight="1" x14ac:dyDescent="0.2">
      <c r="A209" s="216"/>
      <c r="B209" s="373">
        <v>85410</v>
      </c>
      <c r="C209" s="282" t="s">
        <v>488</v>
      </c>
      <c r="D209" s="266">
        <f>SUM(E209,L209)</f>
        <v>17596974.93</v>
      </c>
      <c r="E209" s="266">
        <f>SUM(F209,I209:K209)</f>
        <v>5429974.9299999997</v>
      </c>
      <c r="F209" s="266">
        <f>SUM(G209:H209)</f>
        <v>3854357.02</v>
      </c>
      <c r="G209" s="245">
        <v>2941058.92</v>
      </c>
      <c r="H209" s="245">
        <v>913298.1</v>
      </c>
      <c r="I209" s="245">
        <v>1565082.91</v>
      </c>
      <c r="J209" s="245">
        <v>10535</v>
      </c>
      <c r="K209" s="245">
        <v>0</v>
      </c>
      <c r="L209" s="266">
        <f>SUM(M209:N209)</f>
        <v>12167000</v>
      </c>
      <c r="M209" s="245">
        <v>167000</v>
      </c>
      <c r="N209" s="245">
        <v>12000000</v>
      </c>
      <c r="O209" s="336"/>
      <c r="P209" s="351"/>
    </row>
    <row r="210" spans="1:16" s="5" customFormat="1" ht="12" customHeight="1" x14ac:dyDescent="0.2">
      <c r="A210" s="342"/>
      <c r="B210" s="373">
        <v>85417</v>
      </c>
      <c r="C210" s="282" t="s">
        <v>671</v>
      </c>
      <c r="D210" s="266">
        <f>SUM(E210,L210)</f>
        <v>270999.3</v>
      </c>
      <c r="E210" s="266">
        <f>SUM(F210,I210:K210)</f>
        <v>270999.3</v>
      </c>
      <c r="F210" s="266">
        <f>SUM(G210:H210)</f>
        <v>270999.3</v>
      </c>
      <c r="G210" s="245">
        <v>93006</v>
      </c>
      <c r="H210" s="245">
        <v>177993.3</v>
      </c>
      <c r="I210" s="245">
        <v>0</v>
      </c>
      <c r="J210" s="245">
        <v>0</v>
      </c>
      <c r="K210" s="245">
        <v>0</v>
      </c>
      <c r="L210" s="266">
        <f>SUM(M210:N210)</f>
        <v>0</v>
      </c>
      <c r="M210" s="245">
        <v>0</v>
      </c>
      <c r="N210" s="245">
        <v>0</v>
      </c>
      <c r="O210" s="336"/>
      <c r="P210" s="351"/>
    </row>
    <row r="211" spans="1:16" s="5" customFormat="1" ht="12" customHeight="1" x14ac:dyDescent="0.2">
      <c r="A211" s="342"/>
      <c r="B211" s="373">
        <v>85420</v>
      </c>
      <c r="C211" s="282" t="s">
        <v>492</v>
      </c>
      <c r="D211" s="266">
        <f>SUM(E211,L211)</f>
        <v>9233990.3599999994</v>
      </c>
      <c r="E211" s="266">
        <f>SUM(F211,I211:K211)</f>
        <v>8183990.3600000003</v>
      </c>
      <c r="F211" s="266">
        <f>SUM(G211:H211)</f>
        <v>8150130.3600000003</v>
      </c>
      <c r="G211" s="245">
        <v>6250167.3600000003</v>
      </c>
      <c r="H211" s="245">
        <v>1899963</v>
      </c>
      <c r="I211" s="245">
        <v>0</v>
      </c>
      <c r="J211" s="245">
        <v>33860</v>
      </c>
      <c r="K211" s="245">
        <v>0</v>
      </c>
      <c r="L211" s="266">
        <f>SUM(M211:N211)</f>
        <v>1050000</v>
      </c>
      <c r="M211" s="245">
        <v>1050000</v>
      </c>
      <c r="N211" s="245">
        <v>0</v>
      </c>
      <c r="O211" s="336"/>
      <c r="P211" s="351"/>
    </row>
    <row r="212" spans="1:16" s="5" customFormat="1" ht="12" customHeight="1" x14ac:dyDescent="0.2">
      <c r="A212" s="342"/>
      <c r="B212" s="373">
        <v>85495</v>
      </c>
      <c r="C212" s="1256" t="s">
        <v>96</v>
      </c>
      <c r="D212" s="322">
        <f>SUM(E212,L212)</f>
        <v>75327</v>
      </c>
      <c r="E212" s="322">
        <f>SUM(F212,I212:K212)</f>
        <v>75327</v>
      </c>
      <c r="F212" s="322">
        <f>SUM(G212:H212)</f>
        <v>75327</v>
      </c>
      <c r="G212" s="353">
        <v>0</v>
      </c>
      <c r="H212" s="353">
        <v>75327</v>
      </c>
      <c r="I212" s="353">
        <v>0</v>
      </c>
      <c r="J212" s="353">
        <v>0</v>
      </c>
      <c r="K212" s="353">
        <v>0</v>
      </c>
      <c r="L212" s="322">
        <f>SUM(M212:N212)</f>
        <v>0</v>
      </c>
      <c r="M212" s="353">
        <v>0</v>
      </c>
      <c r="N212" s="353">
        <v>0</v>
      </c>
      <c r="O212" s="336"/>
      <c r="P212" s="351"/>
    </row>
    <row r="213" spans="1:16" s="5" customFormat="1" ht="12" customHeight="1" thickBot="1" x14ac:dyDescent="0.25">
      <c r="A213" s="342">
        <v>855</v>
      </c>
      <c r="B213" s="342"/>
      <c r="C213" s="1255" t="s">
        <v>61</v>
      </c>
      <c r="D213" s="355">
        <f t="shared" ref="D213:N213" si="49">SUM(D214:D216)</f>
        <v>23052318.379999999</v>
      </c>
      <c r="E213" s="355">
        <f t="shared" si="49"/>
        <v>23052318.379999999</v>
      </c>
      <c r="F213" s="355">
        <f t="shared" si="49"/>
        <v>16887009.379999999</v>
      </c>
      <c r="G213" s="355">
        <f t="shared" si="49"/>
        <v>11683179.68</v>
      </c>
      <c r="H213" s="355">
        <f t="shared" si="49"/>
        <v>5203829.7</v>
      </c>
      <c r="I213" s="355">
        <f t="shared" si="49"/>
        <v>3019200</v>
      </c>
      <c r="J213" s="355">
        <f t="shared" si="49"/>
        <v>3146109</v>
      </c>
      <c r="K213" s="355">
        <f t="shared" si="49"/>
        <v>0</v>
      </c>
      <c r="L213" s="355">
        <f t="shared" si="49"/>
        <v>0</v>
      </c>
      <c r="M213" s="355">
        <f t="shared" si="49"/>
        <v>0</v>
      </c>
      <c r="N213" s="355">
        <f t="shared" si="49"/>
        <v>0</v>
      </c>
      <c r="O213" s="336"/>
      <c r="P213" s="351"/>
    </row>
    <row r="214" spans="1:16" s="5" customFormat="1" ht="12" customHeight="1" thickTop="1" x14ac:dyDescent="0.2">
      <c r="A214" s="342"/>
      <c r="B214" s="373">
        <v>85508</v>
      </c>
      <c r="C214" s="282" t="s">
        <v>494</v>
      </c>
      <c r="D214" s="266">
        <f>SUM(E214,L214)</f>
        <v>5028852.8600000003</v>
      </c>
      <c r="E214" s="266">
        <f>SUM(F214,I214:K214)</f>
        <v>5028852.8600000003</v>
      </c>
      <c r="F214" s="266">
        <f>SUM(G214:H214)</f>
        <v>2374987.8600000003</v>
      </c>
      <c r="G214" s="245">
        <v>1192756.8600000001</v>
      </c>
      <c r="H214" s="245">
        <v>1182231</v>
      </c>
      <c r="I214" s="245">
        <v>0</v>
      </c>
      <c r="J214" s="245">
        <v>2653865</v>
      </c>
      <c r="K214" s="245">
        <v>0</v>
      </c>
      <c r="L214" s="266">
        <f>SUM(M214:N214)</f>
        <v>0</v>
      </c>
      <c r="M214" s="245">
        <v>0</v>
      </c>
      <c r="N214" s="245">
        <v>0</v>
      </c>
      <c r="O214" s="336"/>
      <c r="P214" s="351"/>
    </row>
    <row r="215" spans="1:16" s="5" customFormat="1" ht="12" customHeight="1" x14ac:dyDescent="0.2">
      <c r="A215" s="342"/>
      <c r="B215" s="373">
        <v>85510</v>
      </c>
      <c r="C215" s="282" t="s">
        <v>672</v>
      </c>
      <c r="D215" s="266">
        <f>SUM(E215,L215)</f>
        <v>17782407.52</v>
      </c>
      <c r="E215" s="266">
        <f>SUM(F215,I215:K215)</f>
        <v>17782407.52</v>
      </c>
      <c r="F215" s="322">
        <f>SUM(G215:H215)</f>
        <v>14270963.52</v>
      </c>
      <c r="G215" s="245">
        <v>10487422.82</v>
      </c>
      <c r="H215" s="245">
        <v>3783540.7</v>
      </c>
      <c r="I215" s="245">
        <v>3019200</v>
      </c>
      <c r="J215" s="245">
        <v>492244</v>
      </c>
      <c r="K215" s="245">
        <v>0</v>
      </c>
      <c r="L215" s="266">
        <f>SUM(M215:N215)</f>
        <v>0</v>
      </c>
      <c r="M215" s="245">
        <v>0</v>
      </c>
      <c r="N215" s="245">
        <v>0</v>
      </c>
      <c r="O215" s="336"/>
      <c r="P215" s="351"/>
    </row>
    <row r="216" spans="1:16" s="5" customFormat="1" ht="12" customHeight="1" x14ac:dyDescent="0.2">
      <c r="A216" s="342"/>
      <c r="B216" s="373">
        <v>85595</v>
      </c>
      <c r="C216" s="282" t="s">
        <v>96</v>
      </c>
      <c r="D216" s="266">
        <f>SUM(E216,L216)</f>
        <v>241058</v>
      </c>
      <c r="E216" s="266">
        <f>SUM(F216,I216:K216)</f>
        <v>241058</v>
      </c>
      <c r="F216" s="322">
        <f>SUM(G216:H216)</f>
        <v>241058</v>
      </c>
      <c r="G216" s="245">
        <v>3000</v>
      </c>
      <c r="H216" s="245">
        <v>238058</v>
      </c>
      <c r="I216" s="245">
        <v>0</v>
      </c>
      <c r="J216" s="245">
        <v>0</v>
      </c>
      <c r="K216" s="245">
        <v>0</v>
      </c>
      <c r="L216" s="266">
        <f>SUM(M216:N216)</f>
        <v>0</v>
      </c>
      <c r="M216" s="245">
        <v>0</v>
      </c>
      <c r="N216" s="245">
        <v>0</v>
      </c>
      <c r="O216" s="336"/>
      <c r="P216" s="351"/>
    </row>
    <row r="217" spans="1:16" s="5" customFormat="1" ht="12" customHeight="1" thickBot="1" x14ac:dyDescent="0.25">
      <c r="A217" s="342">
        <v>900</v>
      </c>
      <c r="B217" s="342"/>
      <c r="C217" s="1255" t="s">
        <v>63</v>
      </c>
      <c r="D217" s="355">
        <f t="shared" ref="D217:N217" si="50">SUM(D218:D218)</f>
        <v>674793</v>
      </c>
      <c r="E217" s="355">
        <f t="shared" si="50"/>
        <v>674793</v>
      </c>
      <c r="F217" s="355">
        <f t="shared" si="50"/>
        <v>674793</v>
      </c>
      <c r="G217" s="355">
        <f t="shared" si="50"/>
        <v>0</v>
      </c>
      <c r="H217" s="355">
        <f t="shared" si="50"/>
        <v>674793</v>
      </c>
      <c r="I217" s="355">
        <f t="shared" si="50"/>
        <v>0</v>
      </c>
      <c r="J217" s="355">
        <f t="shared" si="50"/>
        <v>0</v>
      </c>
      <c r="K217" s="355">
        <f t="shared" si="50"/>
        <v>0</v>
      </c>
      <c r="L217" s="355">
        <f t="shared" si="50"/>
        <v>0</v>
      </c>
      <c r="M217" s="355">
        <f t="shared" si="50"/>
        <v>0</v>
      </c>
      <c r="N217" s="355">
        <f t="shared" si="50"/>
        <v>0</v>
      </c>
      <c r="O217" s="336"/>
      <c r="P217" s="351"/>
    </row>
    <row r="218" spans="1:16" s="5" customFormat="1" ht="12" customHeight="1" thickTop="1" x14ac:dyDescent="0.2">
      <c r="A218" s="342"/>
      <c r="B218" s="373">
        <v>90001</v>
      </c>
      <c r="C218" s="282" t="s">
        <v>503</v>
      </c>
      <c r="D218" s="266">
        <f>SUM(E218,L218)</f>
        <v>674793</v>
      </c>
      <c r="E218" s="266">
        <f>SUM(F218,I218:K218)</f>
        <v>674793</v>
      </c>
      <c r="F218" s="322">
        <f>SUM(G218:H218)</f>
        <v>674793</v>
      </c>
      <c r="G218" s="245">
        <v>0</v>
      </c>
      <c r="H218" s="245">
        <v>674793</v>
      </c>
      <c r="I218" s="245">
        <v>0</v>
      </c>
      <c r="J218" s="245">
        <v>0</v>
      </c>
      <c r="K218" s="245">
        <v>0</v>
      </c>
      <c r="L218" s="266">
        <f>SUM(M218:N218)</f>
        <v>0</v>
      </c>
      <c r="M218" s="245">
        <v>0</v>
      </c>
      <c r="N218" s="245">
        <v>0</v>
      </c>
      <c r="O218" s="336"/>
      <c r="P218" s="351"/>
    </row>
    <row r="219" spans="1:16" s="5" customFormat="1" ht="12" customHeight="1" thickBot="1" x14ac:dyDescent="0.25">
      <c r="A219" s="342">
        <v>926</v>
      </c>
      <c r="B219" s="342"/>
      <c r="C219" s="1255" t="s">
        <v>67</v>
      </c>
      <c r="D219" s="355">
        <f>SUM(D220)</f>
        <v>202655</v>
      </c>
      <c r="E219" s="355">
        <f t="shared" ref="E219:N219" si="51">SUM(E220)</f>
        <v>202655</v>
      </c>
      <c r="F219" s="355">
        <f t="shared" si="51"/>
        <v>202655</v>
      </c>
      <c r="G219" s="355">
        <f t="shared" si="51"/>
        <v>0</v>
      </c>
      <c r="H219" s="355">
        <f t="shared" si="51"/>
        <v>202655</v>
      </c>
      <c r="I219" s="355">
        <f t="shared" si="51"/>
        <v>0</v>
      </c>
      <c r="J219" s="355">
        <f t="shared" si="51"/>
        <v>0</v>
      </c>
      <c r="K219" s="355">
        <f t="shared" si="51"/>
        <v>0</v>
      </c>
      <c r="L219" s="355">
        <f t="shared" si="51"/>
        <v>0</v>
      </c>
      <c r="M219" s="355">
        <f t="shared" si="51"/>
        <v>0</v>
      </c>
      <c r="N219" s="355">
        <f t="shared" si="51"/>
        <v>0</v>
      </c>
      <c r="O219" s="336"/>
      <c r="P219" s="351"/>
    </row>
    <row r="220" spans="1:16" s="5" customFormat="1" ht="12" customHeight="1" thickTop="1" x14ac:dyDescent="0.2">
      <c r="A220" s="342"/>
      <c r="B220" s="373">
        <v>92601</v>
      </c>
      <c r="C220" s="282" t="s">
        <v>646</v>
      </c>
      <c r="D220" s="266">
        <f>SUM(E220,L220)</f>
        <v>202655</v>
      </c>
      <c r="E220" s="266">
        <f>SUM(F220,I220:K220)</f>
        <v>202655</v>
      </c>
      <c r="F220" s="322">
        <f>SUM(G220:H220)</f>
        <v>202655</v>
      </c>
      <c r="G220" s="245">
        <v>0</v>
      </c>
      <c r="H220" s="245">
        <v>202655</v>
      </c>
      <c r="I220" s="245">
        <v>0</v>
      </c>
      <c r="J220" s="245">
        <v>0</v>
      </c>
      <c r="K220" s="245">
        <v>0</v>
      </c>
      <c r="L220" s="266">
        <f>SUM(M220:N220)</f>
        <v>0</v>
      </c>
      <c r="M220" s="245">
        <v>0</v>
      </c>
      <c r="N220" s="245">
        <v>0</v>
      </c>
      <c r="O220" s="336"/>
      <c r="P220" s="351"/>
    </row>
    <row r="221" spans="1:16" s="5" customFormat="1" ht="12" customHeight="1" x14ac:dyDescent="0.2">
      <c r="A221" s="375"/>
      <c r="B221" s="376"/>
      <c r="C221" s="1236" t="s">
        <v>673</v>
      </c>
      <c r="D221" s="378">
        <f>SUM(D151,D154,D156,D158,D165,D168,D196,D199,D204,D213,D217,D219,D162)</f>
        <v>375277324.44999993</v>
      </c>
      <c r="E221" s="378">
        <f t="shared" ref="E221:N221" si="52">SUM(E151,E154,E156,E158,E165,E168,E196,E199,E204,E213,E217,E219,E162)</f>
        <v>276760625.64999998</v>
      </c>
      <c r="F221" s="378">
        <f t="shared" si="52"/>
        <v>230746271.55999997</v>
      </c>
      <c r="G221" s="378">
        <f t="shared" si="52"/>
        <v>183950900.62</v>
      </c>
      <c r="H221" s="378">
        <f t="shared" si="52"/>
        <v>46795370.939999998</v>
      </c>
      <c r="I221" s="378">
        <f t="shared" si="52"/>
        <v>39743102.220000006</v>
      </c>
      <c r="J221" s="378">
        <f t="shared" si="52"/>
        <v>3504206</v>
      </c>
      <c r="K221" s="378">
        <f t="shared" si="52"/>
        <v>2767045.87</v>
      </c>
      <c r="L221" s="378">
        <f t="shared" si="52"/>
        <v>98516698.799999997</v>
      </c>
      <c r="M221" s="378">
        <f t="shared" si="52"/>
        <v>70842156.829999998</v>
      </c>
      <c r="N221" s="378">
        <f t="shared" si="52"/>
        <v>27674541.969999999</v>
      </c>
      <c r="O221" s="336"/>
      <c r="P221" s="351"/>
    </row>
    <row r="222" spans="1:16" s="336" customFormat="1" ht="17.25" customHeight="1" x14ac:dyDescent="0.2">
      <c r="A222" s="375"/>
      <c r="B222" s="376"/>
      <c r="C222" s="377" t="s">
        <v>648</v>
      </c>
      <c r="D222" s="378">
        <f>SUM(D149,D221)</f>
        <v>1406318910.5699999</v>
      </c>
      <c r="E222" s="378">
        <f t="shared" ref="E222:N222" si="53">SUM(E149,E221)</f>
        <v>990382349.93999994</v>
      </c>
      <c r="F222" s="378">
        <f t="shared" si="53"/>
        <v>842261216.37999988</v>
      </c>
      <c r="G222" s="378">
        <f t="shared" si="53"/>
        <v>474071739.61000001</v>
      </c>
      <c r="H222" s="378">
        <f t="shared" si="53"/>
        <v>368189476.77000004</v>
      </c>
      <c r="I222" s="378">
        <f t="shared" si="53"/>
        <v>116081686.36000001</v>
      </c>
      <c r="J222" s="378">
        <f t="shared" si="53"/>
        <v>25549477</v>
      </c>
      <c r="K222" s="378">
        <f t="shared" si="53"/>
        <v>6489970.2000000002</v>
      </c>
      <c r="L222" s="378">
        <f t="shared" si="53"/>
        <v>415936560.63</v>
      </c>
      <c r="M222" s="378">
        <f t="shared" si="53"/>
        <v>225360329</v>
      </c>
      <c r="N222" s="378">
        <f t="shared" si="53"/>
        <v>190576231.63</v>
      </c>
      <c r="P222" s="379"/>
    </row>
    <row r="223" spans="1:16" s="5" customFormat="1" ht="17.25" customHeight="1" x14ac:dyDescent="0.2">
      <c r="A223" s="1251" t="s">
        <v>674</v>
      </c>
      <c r="B223" s="1253"/>
      <c r="C223" s="1253"/>
      <c r="D223" s="1266"/>
      <c r="E223" s="1266"/>
      <c r="F223" s="380"/>
      <c r="G223" s="380"/>
      <c r="H223" s="380"/>
      <c r="I223" s="380"/>
      <c r="J223" s="380"/>
      <c r="K223" s="380"/>
      <c r="L223" s="380"/>
      <c r="M223" s="380"/>
      <c r="N223" s="381"/>
      <c r="O223" s="336"/>
    </row>
    <row r="224" spans="1:16" s="2" customFormat="1" ht="12.75" customHeight="1" thickBot="1" x14ac:dyDescent="0.25">
      <c r="A224" s="342">
        <v>750</v>
      </c>
      <c r="B224" s="342"/>
      <c r="C224" s="1255" t="s">
        <v>584</v>
      </c>
      <c r="D224" s="355">
        <f>SUM(D225)</f>
        <v>2434635</v>
      </c>
      <c r="E224" s="355">
        <f t="shared" ref="E224:K224" si="54">SUM(E225)</f>
        <v>2434635</v>
      </c>
      <c r="F224" s="355">
        <f t="shared" si="54"/>
        <v>2434635</v>
      </c>
      <c r="G224" s="355">
        <f t="shared" si="54"/>
        <v>2434635</v>
      </c>
      <c r="H224" s="355">
        <f t="shared" si="54"/>
        <v>0</v>
      </c>
      <c r="I224" s="355">
        <f t="shared" si="54"/>
        <v>0</v>
      </c>
      <c r="J224" s="355">
        <f t="shared" si="54"/>
        <v>0</v>
      </c>
      <c r="K224" s="355">
        <f t="shared" si="54"/>
        <v>0</v>
      </c>
      <c r="L224" s="355">
        <f>SUM(L225)</f>
        <v>0</v>
      </c>
      <c r="M224" s="355">
        <f>SUM(M225)</f>
        <v>0</v>
      </c>
      <c r="N224" s="355">
        <f>SUM(N225)</f>
        <v>0</v>
      </c>
      <c r="O224" s="336"/>
    </row>
    <row r="225" spans="1:15" s="2" customFormat="1" ht="12" customHeight="1" thickTop="1" x14ac:dyDescent="0.2">
      <c r="A225" s="342"/>
      <c r="B225" s="373">
        <v>75011</v>
      </c>
      <c r="C225" s="374" t="s">
        <v>225</v>
      </c>
      <c r="D225" s="254">
        <f>SUM(E225,L225)</f>
        <v>2434635</v>
      </c>
      <c r="E225" s="254">
        <f>SUM(F225,I225:K225)</f>
        <v>2434635</v>
      </c>
      <c r="F225" s="254">
        <f>SUM(G225:H225)</f>
        <v>2434635</v>
      </c>
      <c r="G225" s="352">
        <v>2434635</v>
      </c>
      <c r="H225" s="352">
        <v>0</v>
      </c>
      <c r="I225" s="352">
        <v>0</v>
      </c>
      <c r="J225" s="352">
        <v>0</v>
      </c>
      <c r="K225" s="352">
        <v>0</v>
      </c>
      <c r="L225" s="254">
        <f>SUM(M225:N225)</f>
        <v>0</v>
      </c>
      <c r="M225" s="352">
        <v>0</v>
      </c>
      <c r="N225" s="352">
        <v>0</v>
      </c>
      <c r="O225" s="336"/>
    </row>
    <row r="226" spans="1:15" s="2" customFormat="1" ht="12.75" customHeight="1" x14ac:dyDescent="0.2">
      <c r="A226" s="342">
        <v>751</v>
      </c>
      <c r="B226" s="373"/>
      <c r="C226" s="363" t="s">
        <v>35</v>
      </c>
      <c r="D226" s="1257"/>
      <c r="E226" s="1257"/>
      <c r="F226" s="359"/>
      <c r="G226" s="359"/>
      <c r="H226" s="359"/>
      <c r="I226" s="359"/>
      <c r="J226" s="359"/>
      <c r="K226" s="359"/>
      <c r="L226" s="359"/>
      <c r="M226" s="359"/>
      <c r="N226" s="359"/>
      <c r="O226" s="336"/>
    </row>
    <row r="227" spans="1:15" s="2" customFormat="1" ht="12.75" customHeight="1" thickBot="1" x14ac:dyDescent="0.25">
      <c r="A227" s="216"/>
      <c r="B227" s="373"/>
      <c r="C227" s="1255" t="s">
        <v>36</v>
      </c>
      <c r="D227" s="355">
        <f t="shared" ref="D227:K227" si="55">SUM(D229)</f>
        <v>14369</v>
      </c>
      <c r="E227" s="355">
        <f t="shared" si="55"/>
        <v>14369</v>
      </c>
      <c r="F227" s="355">
        <f t="shared" si="55"/>
        <v>14369</v>
      </c>
      <c r="G227" s="355">
        <f>SUM(G229)</f>
        <v>13590</v>
      </c>
      <c r="H227" s="355">
        <f t="shared" si="55"/>
        <v>779</v>
      </c>
      <c r="I227" s="355">
        <f t="shared" si="55"/>
        <v>0</v>
      </c>
      <c r="J227" s="355">
        <f t="shared" si="55"/>
        <v>0</v>
      </c>
      <c r="K227" s="355">
        <f t="shared" si="55"/>
        <v>0</v>
      </c>
      <c r="L227" s="355">
        <f>SUM(L229)</f>
        <v>0</v>
      </c>
      <c r="M227" s="355">
        <f>SUM(M229)</f>
        <v>0</v>
      </c>
      <c r="N227" s="355">
        <f>SUM(N229)</f>
        <v>0</v>
      </c>
      <c r="O227" s="336"/>
    </row>
    <row r="228" spans="1:15" s="2" customFormat="1" ht="12" customHeight="1" thickTop="1" x14ac:dyDescent="0.2">
      <c r="A228" s="373"/>
      <c r="B228" s="373">
        <v>75101</v>
      </c>
      <c r="C228" s="165" t="s">
        <v>35</v>
      </c>
      <c r="D228" s="256"/>
      <c r="E228" s="247"/>
      <c r="F228" s="382"/>
      <c r="G228" s="356"/>
      <c r="H228" s="356"/>
      <c r="I228" s="356"/>
      <c r="J228" s="356"/>
      <c r="K228" s="356"/>
      <c r="L228" s="356"/>
      <c r="M228" s="356"/>
      <c r="N228" s="356"/>
      <c r="O228" s="336"/>
    </row>
    <row r="229" spans="1:15" s="2" customFormat="1" ht="12" customHeight="1" x14ac:dyDescent="0.2">
      <c r="A229" s="373"/>
      <c r="B229" s="373"/>
      <c r="C229" s="282" t="s">
        <v>675</v>
      </c>
      <c r="D229" s="266">
        <f>SUM(E229,L229)</f>
        <v>14369</v>
      </c>
      <c r="E229" s="266">
        <f>SUM(F229,I229:K229)</f>
        <v>14369</v>
      </c>
      <c r="F229" s="266">
        <f>SUM(G229:H229)</f>
        <v>14369</v>
      </c>
      <c r="G229" s="245">
        <v>13590</v>
      </c>
      <c r="H229" s="245">
        <v>779</v>
      </c>
      <c r="I229" s="245">
        <v>0</v>
      </c>
      <c r="J229" s="245">
        <v>0</v>
      </c>
      <c r="K229" s="245">
        <v>0</v>
      </c>
      <c r="L229" s="266">
        <f>SUM(M229:N229)</f>
        <v>0</v>
      </c>
      <c r="M229" s="245">
        <v>0</v>
      </c>
      <c r="N229" s="245">
        <v>0</v>
      </c>
      <c r="O229" s="336"/>
    </row>
    <row r="230" spans="1:15" s="2" customFormat="1" ht="12.75" customHeight="1" thickBot="1" x14ac:dyDescent="0.25">
      <c r="A230" s="342">
        <v>851</v>
      </c>
      <c r="B230" s="342"/>
      <c r="C230" s="1255" t="s">
        <v>323</v>
      </c>
      <c r="D230" s="355">
        <f>SUM(D231)</f>
        <v>3000</v>
      </c>
      <c r="E230" s="355">
        <f t="shared" ref="E230:N230" si="56">SUM(E231)</f>
        <v>3000</v>
      </c>
      <c r="F230" s="355">
        <f t="shared" si="56"/>
        <v>3000</v>
      </c>
      <c r="G230" s="355">
        <f t="shared" si="56"/>
        <v>0</v>
      </c>
      <c r="H230" s="355">
        <f t="shared" si="56"/>
        <v>3000</v>
      </c>
      <c r="I230" s="355">
        <f t="shared" si="56"/>
        <v>0</v>
      </c>
      <c r="J230" s="355">
        <f t="shared" si="56"/>
        <v>0</v>
      </c>
      <c r="K230" s="355">
        <f t="shared" si="56"/>
        <v>0</v>
      </c>
      <c r="L230" s="355">
        <f t="shared" si="56"/>
        <v>0</v>
      </c>
      <c r="M230" s="355">
        <f t="shared" si="56"/>
        <v>0</v>
      </c>
      <c r="N230" s="355">
        <f t="shared" si="56"/>
        <v>0</v>
      </c>
      <c r="O230" s="336"/>
    </row>
    <row r="231" spans="1:15" s="2" customFormat="1" ht="12" customHeight="1" thickTop="1" x14ac:dyDescent="0.2">
      <c r="A231" s="342"/>
      <c r="B231" s="373">
        <v>85195</v>
      </c>
      <c r="C231" s="282" t="s">
        <v>96</v>
      </c>
      <c r="D231" s="266">
        <f>SUM(E231,L231)</f>
        <v>3000</v>
      </c>
      <c r="E231" s="266">
        <f>SUM(F231,I231:K231)</f>
        <v>3000</v>
      </c>
      <c r="F231" s="322">
        <f>SUM(G231:H231)</f>
        <v>3000</v>
      </c>
      <c r="G231" s="245">
        <v>0</v>
      </c>
      <c r="H231" s="245">
        <v>3000</v>
      </c>
      <c r="I231" s="245">
        <v>0</v>
      </c>
      <c r="J231" s="245">
        <v>0</v>
      </c>
      <c r="K231" s="245">
        <v>0</v>
      </c>
      <c r="L231" s="266">
        <f>SUM(M231:N231)</f>
        <v>0</v>
      </c>
      <c r="M231" s="245">
        <v>0</v>
      </c>
      <c r="N231" s="245">
        <v>0</v>
      </c>
      <c r="O231" s="336"/>
    </row>
    <row r="232" spans="1:15" s="2" customFormat="1" ht="12.75" customHeight="1" thickBot="1" x14ac:dyDescent="0.25">
      <c r="A232" s="342">
        <v>852</v>
      </c>
      <c r="B232" s="342"/>
      <c r="C232" s="1255" t="s">
        <v>1331</v>
      </c>
      <c r="D232" s="355">
        <f>SUM(D233,D234,D236,D237)</f>
        <v>6640904</v>
      </c>
      <c r="E232" s="355">
        <f t="shared" ref="E232:N232" si="57">SUM(E233,E234,E236,E237)</f>
        <v>6640904</v>
      </c>
      <c r="F232" s="355">
        <f t="shared" si="57"/>
        <v>1799788</v>
      </c>
      <c r="G232" s="355">
        <f t="shared" si="57"/>
        <v>1509540</v>
      </c>
      <c r="H232" s="355">
        <f t="shared" si="57"/>
        <v>290248</v>
      </c>
      <c r="I232" s="355">
        <f t="shared" si="57"/>
        <v>4754169</v>
      </c>
      <c r="J232" s="355">
        <f t="shared" si="57"/>
        <v>86947</v>
      </c>
      <c r="K232" s="355">
        <f t="shared" si="57"/>
        <v>0</v>
      </c>
      <c r="L232" s="355">
        <f t="shared" si="57"/>
        <v>0</v>
      </c>
      <c r="M232" s="355">
        <f t="shared" si="57"/>
        <v>0</v>
      </c>
      <c r="N232" s="355">
        <f t="shared" si="57"/>
        <v>0</v>
      </c>
      <c r="O232" s="336"/>
    </row>
    <row r="233" spans="1:15" s="2" customFormat="1" ht="12.75" customHeight="1" thickTop="1" x14ac:dyDescent="0.2">
      <c r="A233" s="342"/>
      <c r="B233" s="373">
        <v>85203</v>
      </c>
      <c r="C233" s="282" t="s">
        <v>335</v>
      </c>
      <c r="D233" s="266">
        <f>SUM(E233,L233)</f>
        <v>1767439</v>
      </c>
      <c r="E233" s="266">
        <f>SUM(F233,I233:K233)</f>
        <v>1767439</v>
      </c>
      <c r="F233" s="322">
        <f>SUM(G233:H233)</f>
        <v>1767439</v>
      </c>
      <c r="G233" s="245">
        <v>1509540</v>
      </c>
      <c r="H233" s="245">
        <v>257899</v>
      </c>
      <c r="I233" s="245">
        <v>0</v>
      </c>
      <c r="J233" s="245">
        <v>0</v>
      </c>
      <c r="K233" s="245">
        <v>0</v>
      </c>
      <c r="L233" s="266">
        <f>SUM(M233:N233)</f>
        <v>0</v>
      </c>
      <c r="M233" s="245">
        <v>0</v>
      </c>
      <c r="N233" s="245">
        <v>0</v>
      </c>
      <c r="O233" s="336"/>
    </row>
    <row r="234" spans="1:15" s="2" customFormat="1" ht="12.75" customHeight="1" x14ac:dyDescent="0.2">
      <c r="A234" s="373"/>
      <c r="B234" s="373">
        <v>85219</v>
      </c>
      <c r="C234" s="282" t="s">
        <v>357</v>
      </c>
      <c r="D234" s="266">
        <f>SUM(E234,L234)</f>
        <v>88248</v>
      </c>
      <c r="E234" s="266">
        <f>SUM(F234,I234:K234)</f>
        <v>88248</v>
      </c>
      <c r="F234" s="322">
        <f>SUM(G234:H234)</f>
        <v>1301</v>
      </c>
      <c r="G234" s="245">
        <v>0</v>
      </c>
      <c r="H234" s="245">
        <v>1301</v>
      </c>
      <c r="I234" s="245">
        <v>0</v>
      </c>
      <c r="J234" s="245">
        <v>86947</v>
      </c>
      <c r="K234" s="245">
        <v>0</v>
      </c>
      <c r="L234" s="266">
        <f>SUM(M234:N234)</f>
        <v>0</v>
      </c>
      <c r="M234" s="245">
        <v>0</v>
      </c>
      <c r="N234" s="245">
        <v>0</v>
      </c>
      <c r="O234" s="336"/>
    </row>
    <row r="235" spans="1:15" s="2" customFormat="1" ht="12.75" customHeight="1" x14ac:dyDescent="0.2">
      <c r="A235" s="373"/>
      <c r="B235" s="373">
        <v>85228</v>
      </c>
      <c r="C235" s="165" t="s">
        <v>625</v>
      </c>
      <c r="D235" s="247"/>
      <c r="E235" s="247"/>
      <c r="F235" s="246"/>
      <c r="G235" s="247"/>
      <c r="H235" s="247"/>
      <c r="I235" s="247"/>
      <c r="J235" s="247"/>
      <c r="K235" s="247"/>
      <c r="L235" s="247"/>
      <c r="M235" s="247"/>
      <c r="N235" s="247"/>
      <c r="O235" s="336"/>
    </row>
    <row r="236" spans="1:15" s="2" customFormat="1" ht="12.75" customHeight="1" x14ac:dyDescent="0.2">
      <c r="A236" s="373"/>
      <c r="B236" s="216"/>
      <c r="C236" s="282" t="s">
        <v>626</v>
      </c>
      <c r="D236" s="266">
        <f>SUM(E236,L236)</f>
        <v>4754169</v>
      </c>
      <c r="E236" s="266">
        <f>SUM(F236,I236:K236)</f>
        <v>4754169</v>
      </c>
      <c r="F236" s="266">
        <f>SUM(G236:H236)</f>
        <v>0</v>
      </c>
      <c r="G236" s="245">
        <v>0</v>
      </c>
      <c r="H236" s="245">
        <v>0</v>
      </c>
      <c r="I236" s="245">
        <v>4754169</v>
      </c>
      <c r="J236" s="245">
        <v>0</v>
      </c>
      <c r="K236" s="245">
        <v>0</v>
      </c>
      <c r="L236" s="266">
        <f>SUM(M236:N236)</f>
        <v>0</v>
      </c>
      <c r="M236" s="245">
        <v>0</v>
      </c>
      <c r="N236" s="245">
        <v>0</v>
      </c>
      <c r="O236" s="336"/>
    </row>
    <row r="237" spans="1:15" s="2" customFormat="1" ht="12.75" customHeight="1" x14ac:dyDescent="0.2">
      <c r="A237" s="373"/>
      <c r="B237" s="373">
        <v>85295</v>
      </c>
      <c r="C237" s="282" t="s">
        <v>96</v>
      </c>
      <c r="D237" s="266">
        <f>SUM(E237,L237)</f>
        <v>31048</v>
      </c>
      <c r="E237" s="266">
        <f>SUM(F237,I237:K237)</f>
        <v>31048</v>
      </c>
      <c r="F237" s="322">
        <f>SUM(G237:H237)</f>
        <v>31048</v>
      </c>
      <c r="G237" s="245">
        <v>0</v>
      </c>
      <c r="H237" s="245">
        <v>31048</v>
      </c>
      <c r="I237" s="245">
        <v>0</v>
      </c>
      <c r="J237" s="245">
        <v>0</v>
      </c>
      <c r="K237" s="245">
        <v>0</v>
      </c>
      <c r="L237" s="266">
        <f>SUM(M237:N237)</f>
        <v>0</v>
      </c>
      <c r="M237" s="245">
        <v>0</v>
      </c>
      <c r="N237" s="245">
        <v>0</v>
      </c>
      <c r="O237" s="336"/>
    </row>
    <row r="238" spans="1:15" s="2" customFormat="1" ht="12.75" customHeight="1" thickBot="1" x14ac:dyDescent="0.25">
      <c r="A238" s="342">
        <v>855</v>
      </c>
      <c r="B238" s="342"/>
      <c r="C238" s="1255" t="s">
        <v>61</v>
      </c>
      <c r="D238" s="355">
        <f>SUM(D241,D242,D245)</f>
        <v>44158354</v>
      </c>
      <c r="E238" s="355">
        <f t="shared" ref="E238:N238" si="58">SUM(E241,E242,E245)</f>
        <v>44158354</v>
      </c>
      <c r="F238" s="355">
        <f t="shared" si="58"/>
        <v>5952636</v>
      </c>
      <c r="G238" s="355">
        <f t="shared" si="58"/>
        <v>5290031</v>
      </c>
      <c r="H238" s="355">
        <f t="shared" si="58"/>
        <v>662605</v>
      </c>
      <c r="I238" s="355">
        <f t="shared" si="58"/>
        <v>0</v>
      </c>
      <c r="J238" s="355">
        <f t="shared" si="58"/>
        <v>38205718</v>
      </c>
      <c r="K238" s="355">
        <f t="shared" si="58"/>
        <v>0</v>
      </c>
      <c r="L238" s="355">
        <f t="shared" si="58"/>
        <v>0</v>
      </c>
      <c r="M238" s="355">
        <f t="shared" si="58"/>
        <v>0</v>
      </c>
      <c r="N238" s="355">
        <f t="shared" si="58"/>
        <v>0</v>
      </c>
      <c r="O238" s="336"/>
    </row>
    <row r="239" spans="1:15" s="2" customFormat="1" ht="12.75" customHeight="1" thickTop="1" x14ac:dyDescent="0.2">
      <c r="A239" s="373"/>
      <c r="B239" s="373">
        <v>85502</v>
      </c>
      <c r="C239" s="1263" t="s">
        <v>633</v>
      </c>
      <c r="D239" s="247"/>
      <c r="E239" s="247"/>
      <c r="F239" s="247"/>
      <c r="G239" s="247"/>
      <c r="H239" s="247"/>
      <c r="I239" s="247"/>
      <c r="J239" s="247"/>
      <c r="K239" s="247"/>
      <c r="L239" s="247"/>
      <c r="M239" s="247"/>
      <c r="N239" s="247"/>
      <c r="O239" s="336"/>
    </row>
    <row r="240" spans="1:15" s="2" customFormat="1" ht="12.75" customHeight="1" x14ac:dyDescent="0.2">
      <c r="A240" s="373"/>
      <c r="B240" s="373"/>
      <c r="C240" s="165" t="s">
        <v>634</v>
      </c>
      <c r="D240" s="247"/>
      <c r="E240" s="247"/>
      <c r="F240" s="247"/>
      <c r="G240" s="247"/>
      <c r="H240" s="247"/>
      <c r="I240" s="247"/>
      <c r="J240" s="247"/>
      <c r="K240" s="247"/>
      <c r="L240" s="247"/>
      <c r="M240" s="247"/>
      <c r="N240" s="247"/>
      <c r="O240" s="336"/>
    </row>
    <row r="241" spans="1:15" s="2" customFormat="1" ht="12.75" customHeight="1" x14ac:dyDescent="0.2">
      <c r="A241" s="373"/>
      <c r="B241" s="373"/>
      <c r="C241" s="282" t="s">
        <v>635</v>
      </c>
      <c r="D241" s="266">
        <f>SUM(E241,L241)</f>
        <v>43543854</v>
      </c>
      <c r="E241" s="266">
        <f>SUM(F241,I241:K241)</f>
        <v>43543854</v>
      </c>
      <c r="F241" s="266">
        <f>SUM(G241:H241)</f>
        <v>5338136</v>
      </c>
      <c r="G241" s="245">
        <v>5288335</v>
      </c>
      <c r="H241" s="245">
        <v>49801</v>
      </c>
      <c r="I241" s="245">
        <v>0</v>
      </c>
      <c r="J241" s="245">
        <v>38205718</v>
      </c>
      <c r="K241" s="245">
        <v>0</v>
      </c>
      <c r="L241" s="266">
        <f>SUM(M241:N241)</f>
        <v>0</v>
      </c>
      <c r="M241" s="245">
        <v>0</v>
      </c>
      <c r="N241" s="245">
        <v>0</v>
      </c>
      <c r="O241" s="336"/>
    </row>
    <row r="242" spans="1:15" s="2" customFormat="1" ht="12.75" customHeight="1" x14ac:dyDescent="0.2">
      <c r="A242" s="1267"/>
      <c r="B242" s="835">
        <v>85503</v>
      </c>
      <c r="C242" s="282" t="s">
        <v>676</v>
      </c>
      <c r="D242" s="266">
        <f>SUM(E242,L242)</f>
        <v>1900</v>
      </c>
      <c r="E242" s="266">
        <f>SUM(F242,I242:K242)</f>
        <v>1900</v>
      </c>
      <c r="F242" s="322">
        <f>SUM(G242:H242)</f>
        <v>1900</v>
      </c>
      <c r="G242" s="245">
        <v>1696</v>
      </c>
      <c r="H242" s="245">
        <v>204</v>
      </c>
      <c r="I242" s="245">
        <v>0</v>
      </c>
      <c r="J242" s="245">
        <v>0</v>
      </c>
      <c r="K242" s="245">
        <v>0</v>
      </c>
      <c r="L242" s="266">
        <f>SUM(M242:N242)</f>
        <v>0</v>
      </c>
      <c r="M242" s="245">
        <v>0</v>
      </c>
      <c r="N242" s="245">
        <v>0</v>
      </c>
      <c r="O242" s="336"/>
    </row>
    <row r="243" spans="1:15" s="2" customFormat="1" ht="12.75" customHeight="1" x14ac:dyDescent="0.2">
      <c r="A243" s="1268"/>
      <c r="B243" s="1239">
        <v>85513</v>
      </c>
      <c r="C243" s="1269" t="s">
        <v>617</v>
      </c>
      <c r="D243" s="246"/>
      <c r="E243" s="246"/>
      <c r="F243" s="246"/>
      <c r="G243" s="246"/>
      <c r="H243" s="246"/>
      <c r="I243" s="246"/>
      <c r="J243" s="246"/>
      <c r="K243" s="246"/>
      <c r="L243" s="246"/>
      <c r="M243" s="246"/>
      <c r="N243" s="246"/>
      <c r="O243" s="336"/>
    </row>
    <row r="244" spans="1:15" s="2" customFormat="1" ht="12.75" customHeight="1" x14ac:dyDescent="0.2">
      <c r="A244" s="1270"/>
      <c r="B244" s="373"/>
      <c r="C244" s="1260" t="s">
        <v>677</v>
      </c>
      <c r="D244" s="247"/>
      <c r="E244" s="247"/>
      <c r="F244" s="247"/>
      <c r="G244" s="247"/>
      <c r="H244" s="247"/>
      <c r="I244" s="247"/>
      <c r="J244" s="247"/>
      <c r="K244" s="247"/>
      <c r="L244" s="247"/>
      <c r="M244" s="247"/>
      <c r="N244" s="247"/>
      <c r="O244" s="336"/>
    </row>
    <row r="245" spans="1:15" s="2" customFormat="1" ht="12.75" customHeight="1" x14ac:dyDescent="0.2">
      <c r="A245" s="1270"/>
      <c r="B245" s="373"/>
      <c r="C245" s="1271" t="s">
        <v>678</v>
      </c>
      <c r="D245" s="266">
        <f>SUM(E245,L245)</f>
        <v>612600</v>
      </c>
      <c r="E245" s="266">
        <f>SUM(F245,I245:K245)</f>
        <v>612600</v>
      </c>
      <c r="F245" s="266">
        <f>SUM(G245:H245)</f>
        <v>612600</v>
      </c>
      <c r="G245" s="245">
        <v>0</v>
      </c>
      <c r="H245" s="245">
        <v>612600</v>
      </c>
      <c r="I245" s="245">
        <v>0</v>
      </c>
      <c r="J245" s="245">
        <v>0</v>
      </c>
      <c r="K245" s="245">
        <v>0</v>
      </c>
      <c r="L245" s="266">
        <f>SUM(M245:N245)</f>
        <v>0</v>
      </c>
      <c r="M245" s="245">
        <v>0</v>
      </c>
      <c r="N245" s="245">
        <v>0</v>
      </c>
      <c r="O245" s="336"/>
    </row>
    <row r="246" spans="1:15" s="2" customFormat="1" ht="16.5" customHeight="1" x14ac:dyDescent="0.2">
      <c r="A246" s="375"/>
      <c r="B246" s="376"/>
      <c r="C246" s="1236" t="s">
        <v>68</v>
      </c>
      <c r="D246" s="378">
        <f t="shared" ref="D246:N246" si="59">SUM(D224,D227,D230,D232,D238)</f>
        <v>53251262</v>
      </c>
      <c r="E246" s="378">
        <f t="shared" si="59"/>
        <v>53251262</v>
      </c>
      <c r="F246" s="378">
        <f t="shared" si="59"/>
        <v>10204428</v>
      </c>
      <c r="G246" s="378">
        <f t="shared" si="59"/>
        <v>9247796</v>
      </c>
      <c r="H246" s="378">
        <f t="shared" si="59"/>
        <v>956632</v>
      </c>
      <c r="I246" s="378">
        <f t="shared" si="59"/>
        <v>4754169</v>
      </c>
      <c r="J246" s="378">
        <f t="shared" si="59"/>
        <v>38292665</v>
      </c>
      <c r="K246" s="378">
        <f t="shared" si="59"/>
        <v>0</v>
      </c>
      <c r="L246" s="378">
        <f t="shared" si="59"/>
        <v>0</v>
      </c>
      <c r="M246" s="378">
        <f t="shared" si="59"/>
        <v>0</v>
      </c>
      <c r="N246" s="378">
        <f t="shared" si="59"/>
        <v>0</v>
      </c>
      <c r="O246" s="383"/>
    </row>
    <row r="247" spans="1:15" ht="16.5" customHeight="1" x14ac:dyDescent="0.2">
      <c r="A247" s="1272" t="s">
        <v>679</v>
      </c>
      <c r="B247" s="1273"/>
      <c r="C247" s="1274"/>
      <c r="D247" s="1275"/>
      <c r="E247" s="1275"/>
      <c r="F247" s="1275"/>
      <c r="G247" s="1275"/>
      <c r="H247" s="1275"/>
      <c r="I247" s="1275"/>
      <c r="J247" s="1275"/>
      <c r="K247" s="1275"/>
      <c r="L247" s="1275"/>
      <c r="M247" s="1275"/>
      <c r="N247" s="1275"/>
    </row>
    <row r="248" spans="1:15" ht="12" customHeight="1" thickBot="1" x14ac:dyDescent="0.25">
      <c r="A248" s="230" t="s">
        <v>17</v>
      </c>
      <c r="B248" s="342"/>
      <c r="C248" s="1255" t="s">
        <v>18</v>
      </c>
      <c r="D248" s="355">
        <f>SUM(D249)</f>
        <v>10000</v>
      </c>
      <c r="E248" s="355">
        <f t="shared" ref="E248:N250" si="60">SUM(E249)</f>
        <v>10000</v>
      </c>
      <c r="F248" s="355">
        <f t="shared" si="60"/>
        <v>10000</v>
      </c>
      <c r="G248" s="355">
        <f t="shared" si="60"/>
        <v>0</v>
      </c>
      <c r="H248" s="355">
        <f t="shared" si="60"/>
        <v>10000</v>
      </c>
      <c r="I248" s="355">
        <f t="shared" si="60"/>
        <v>0</v>
      </c>
      <c r="J248" s="355">
        <f t="shared" si="60"/>
        <v>0</v>
      </c>
      <c r="K248" s="355">
        <f t="shared" si="60"/>
        <v>0</v>
      </c>
      <c r="L248" s="355">
        <f t="shared" si="60"/>
        <v>0</v>
      </c>
      <c r="M248" s="355">
        <f t="shared" si="60"/>
        <v>0</v>
      </c>
      <c r="N248" s="355">
        <f t="shared" si="60"/>
        <v>0</v>
      </c>
    </row>
    <row r="249" spans="1:15" ht="23.25" customHeight="1" thickTop="1" x14ac:dyDescent="0.2">
      <c r="A249" s="373"/>
      <c r="B249" s="1262" t="s">
        <v>522</v>
      </c>
      <c r="C249" s="240" t="s">
        <v>523</v>
      </c>
      <c r="D249" s="266">
        <f>SUM(E249,L249)</f>
        <v>10000</v>
      </c>
      <c r="E249" s="266">
        <f>SUM(F249,I249:K249)</f>
        <v>10000</v>
      </c>
      <c r="F249" s="266">
        <f>SUM(G249:H249)</f>
        <v>10000</v>
      </c>
      <c r="G249" s="245">
        <v>0</v>
      </c>
      <c r="H249" s="245">
        <v>10000</v>
      </c>
      <c r="I249" s="245">
        <v>0</v>
      </c>
      <c r="J249" s="245">
        <v>0</v>
      </c>
      <c r="K249" s="245">
        <v>0</v>
      </c>
      <c r="L249" s="266">
        <f>SUM(M249:N249)</f>
        <v>0</v>
      </c>
      <c r="M249" s="245">
        <v>0</v>
      </c>
      <c r="N249" s="245">
        <v>0</v>
      </c>
    </row>
    <row r="250" spans="1:15" ht="12.75" customHeight="1" thickBot="1" x14ac:dyDescent="0.25">
      <c r="A250" s="342">
        <v>700</v>
      </c>
      <c r="B250" s="342"/>
      <c r="C250" s="1255" t="s">
        <v>29</v>
      </c>
      <c r="D250" s="355">
        <f>SUM(D251)</f>
        <v>551000</v>
      </c>
      <c r="E250" s="355">
        <f t="shared" si="60"/>
        <v>551000</v>
      </c>
      <c r="F250" s="355">
        <f t="shared" si="60"/>
        <v>551000</v>
      </c>
      <c r="G250" s="355">
        <f t="shared" si="60"/>
        <v>230000</v>
      </c>
      <c r="H250" s="355">
        <f t="shared" si="60"/>
        <v>321000</v>
      </c>
      <c r="I250" s="355">
        <f t="shared" si="60"/>
        <v>0</v>
      </c>
      <c r="J250" s="355">
        <f t="shared" si="60"/>
        <v>0</v>
      </c>
      <c r="K250" s="355">
        <f t="shared" si="60"/>
        <v>0</v>
      </c>
      <c r="L250" s="355">
        <f t="shared" si="60"/>
        <v>0</v>
      </c>
      <c r="M250" s="355">
        <f t="shared" si="60"/>
        <v>0</v>
      </c>
      <c r="N250" s="355">
        <f t="shared" si="60"/>
        <v>0</v>
      </c>
    </row>
    <row r="251" spans="1:15" ht="12.75" customHeight="1" thickTop="1" x14ac:dyDescent="0.2">
      <c r="A251" s="373"/>
      <c r="B251" s="373">
        <v>70005</v>
      </c>
      <c r="C251" s="282" t="s">
        <v>177</v>
      </c>
      <c r="D251" s="266">
        <f>SUM(E251,L251)</f>
        <v>551000</v>
      </c>
      <c r="E251" s="266">
        <f>SUM(F251,I251:K251)</f>
        <v>551000</v>
      </c>
      <c r="F251" s="266">
        <f>SUM(G251:H251)</f>
        <v>551000</v>
      </c>
      <c r="G251" s="245">
        <v>230000</v>
      </c>
      <c r="H251" s="245">
        <v>321000</v>
      </c>
      <c r="I251" s="245">
        <v>0</v>
      </c>
      <c r="J251" s="245">
        <v>0</v>
      </c>
      <c r="K251" s="245">
        <v>0</v>
      </c>
      <c r="L251" s="266">
        <f>SUM(M251:N251)</f>
        <v>0</v>
      </c>
      <c r="M251" s="245">
        <v>0</v>
      </c>
      <c r="N251" s="245">
        <v>0</v>
      </c>
    </row>
    <row r="252" spans="1:15" ht="12.75" customHeight="1" thickBot="1" x14ac:dyDescent="0.25">
      <c r="A252" s="342">
        <v>710</v>
      </c>
      <c r="B252" s="342"/>
      <c r="C252" s="1255" t="s">
        <v>31</v>
      </c>
      <c r="D252" s="355">
        <f>SUM(D253:D256)</f>
        <v>1413940</v>
      </c>
      <c r="E252" s="355">
        <f>SUM(E253:E256)</f>
        <v>1413940</v>
      </c>
      <c r="F252" s="355">
        <f>SUM(F253:F256)</f>
        <v>1413440</v>
      </c>
      <c r="G252" s="355">
        <f t="shared" ref="G252:N252" si="61">SUM(G253:G256)</f>
        <v>1242365</v>
      </c>
      <c r="H252" s="355">
        <f>SUM(H253:H256)</f>
        <v>171075</v>
      </c>
      <c r="I252" s="355">
        <f t="shared" si="61"/>
        <v>0</v>
      </c>
      <c r="J252" s="355">
        <f t="shared" si="61"/>
        <v>500</v>
      </c>
      <c r="K252" s="355">
        <f t="shared" si="61"/>
        <v>0</v>
      </c>
      <c r="L252" s="355">
        <f t="shared" si="61"/>
        <v>0</v>
      </c>
      <c r="M252" s="355">
        <f t="shared" si="61"/>
        <v>0</v>
      </c>
      <c r="N252" s="355">
        <f t="shared" si="61"/>
        <v>0</v>
      </c>
    </row>
    <row r="253" spans="1:15" ht="12.75" customHeight="1" thickTop="1" x14ac:dyDescent="0.2">
      <c r="A253" s="342"/>
      <c r="B253" s="373">
        <v>71012</v>
      </c>
      <c r="C253" s="282" t="s">
        <v>429</v>
      </c>
      <c r="D253" s="266">
        <f>SUM(E253,L253)</f>
        <v>261418</v>
      </c>
      <c r="E253" s="266">
        <f>SUM(F253,I253:K253)</f>
        <v>261418</v>
      </c>
      <c r="F253" s="266">
        <f>SUM(G253:H253)</f>
        <v>261418</v>
      </c>
      <c r="G253" s="245">
        <v>261418</v>
      </c>
      <c r="H253" s="245">
        <v>0</v>
      </c>
      <c r="I253" s="245">
        <v>0</v>
      </c>
      <c r="J253" s="245">
        <v>0</v>
      </c>
      <c r="K253" s="245">
        <v>0</v>
      </c>
      <c r="L253" s="266">
        <f>SUM(M253:N253)</f>
        <v>0</v>
      </c>
      <c r="M253" s="245">
        <v>0</v>
      </c>
      <c r="N253" s="245">
        <v>0</v>
      </c>
    </row>
    <row r="254" spans="1:15" ht="23.25" customHeight="1" x14ac:dyDescent="0.2">
      <c r="A254" s="342"/>
      <c r="B254" s="1276">
        <v>71013</v>
      </c>
      <c r="C254" s="241" t="s">
        <v>680</v>
      </c>
      <c r="D254" s="256">
        <f>SUM(E254,L254)</f>
        <v>34000</v>
      </c>
      <c r="E254" s="256">
        <f>SUM(F254,I254:K254)</f>
        <v>34000</v>
      </c>
      <c r="F254" s="256">
        <f>SUM(G254:H254)</f>
        <v>34000</v>
      </c>
      <c r="G254" s="247">
        <v>0</v>
      </c>
      <c r="H254" s="247">
        <v>34000</v>
      </c>
      <c r="I254" s="247">
        <v>0</v>
      </c>
      <c r="J254" s="247">
        <v>0</v>
      </c>
      <c r="K254" s="247">
        <v>0</v>
      </c>
      <c r="L254" s="256">
        <f>SUM(M254:N254)</f>
        <v>0</v>
      </c>
      <c r="M254" s="247">
        <v>0</v>
      </c>
      <c r="N254" s="247">
        <v>0</v>
      </c>
    </row>
    <row r="255" spans="1:15" ht="12.75" customHeight="1" x14ac:dyDescent="0.2">
      <c r="A255" s="342"/>
      <c r="B255" s="373">
        <v>71015</v>
      </c>
      <c r="C255" s="282" t="s">
        <v>217</v>
      </c>
      <c r="D255" s="266">
        <f>SUM(E255,L255)</f>
        <v>1108522</v>
      </c>
      <c r="E255" s="266">
        <f>SUM(F255,I255:K255)</f>
        <v>1108522</v>
      </c>
      <c r="F255" s="266">
        <f>SUM(G255:H255)</f>
        <v>1108022</v>
      </c>
      <c r="G255" s="245">
        <v>980947</v>
      </c>
      <c r="H255" s="245">
        <v>127075</v>
      </c>
      <c r="I255" s="245">
        <v>0</v>
      </c>
      <c r="J255" s="245">
        <v>500</v>
      </c>
      <c r="K255" s="245">
        <v>0</v>
      </c>
      <c r="L255" s="266">
        <f>SUM(M255:N255)</f>
        <v>0</v>
      </c>
      <c r="M255" s="245">
        <v>0</v>
      </c>
      <c r="N255" s="245">
        <v>0</v>
      </c>
    </row>
    <row r="256" spans="1:15" ht="12.75" customHeight="1" x14ac:dyDescent="0.2">
      <c r="A256" s="342"/>
      <c r="B256" s="373">
        <v>71095</v>
      </c>
      <c r="C256" s="282" t="s">
        <v>96</v>
      </c>
      <c r="D256" s="266">
        <f>SUM(E256,L256)</f>
        <v>10000</v>
      </c>
      <c r="E256" s="266">
        <f>SUM(F256,I256:K256)</f>
        <v>10000</v>
      </c>
      <c r="F256" s="266">
        <f>SUM(G256:H256)</f>
        <v>10000</v>
      </c>
      <c r="G256" s="245">
        <v>0</v>
      </c>
      <c r="H256" s="245">
        <v>10000</v>
      </c>
      <c r="I256" s="245">
        <v>0</v>
      </c>
      <c r="J256" s="245">
        <v>0</v>
      </c>
      <c r="K256" s="245">
        <v>0</v>
      </c>
      <c r="L256" s="266">
        <f>SUM(M256:N256)</f>
        <v>0</v>
      </c>
      <c r="M256" s="245">
        <v>0</v>
      </c>
      <c r="N256" s="245">
        <v>0</v>
      </c>
    </row>
    <row r="257" spans="1:14" ht="12.75" customHeight="1" thickBot="1" x14ac:dyDescent="0.25">
      <c r="A257" s="342">
        <v>750</v>
      </c>
      <c r="B257" s="342"/>
      <c r="C257" s="1255" t="s">
        <v>33</v>
      </c>
      <c r="D257" s="355">
        <f t="shared" ref="D257:N257" si="62">SUM(D258:D258)</f>
        <v>166917</v>
      </c>
      <c r="E257" s="355">
        <f t="shared" si="62"/>
        <v>166917</v>
      </c>
      <c r="F257" s="355">
        <f t="shared" si="62"/>
        <v>166917</v>
      </c>
      <c r="G257" s="355">
        <f t="shared" si="62"/>
        <v>166917</v>
      </c>
      <c r="H257" s="355">
        <f t="shared" si="62"/>
        <v>0</v>
      </c>
      <c r="I257" s="355">
        <f t="shared" si="62"/>
        <v>0</v>
      </c>
      <c r="J257" s="355">
        <f t="shared" si="62"/>
        <v>0</v>
      </c>
      <c r="K257" s="355">
        <f t="shared" si="62"/>
        <v>0</v>
      </c>
      <c r="L257" s="355">
        <f t="shared" si="62"/>
        <v>0</v>
      </c>
      <c r="M257" s="355">
        <f t="shared" si="62"/>
        <v>0</v>
      </c>
      <c r="N257" s="355">
        <f t="shared" si="62"/>
        <v>0</v>
      </c>
    </row>
    <row r="258" spans="1:14" ht="12.75" customHeight="1" thickTop="1" x14ac:dyDescent="0.2">
      <c r="A258" s="216"/>
      <c r="B258" s="373">
        <v>75011</v>
      </c>
      <c r="C258" s="282" t="s">
        <v>681</v>
      </c>
      <c r="D258" s="266">
        <f>SUM(E258,L258)</f>
        <v>166917</v>
      </c>
      <c r="E258" s="266">
        <f>SUM(F258,I258:K258)</f>
        <v>166917</v>
      </c>
      <c r="F258" s="266">
        <f>SUM(G258:H258)</f>
        <v>166917</v>
      </c>
      <c r="G258" s="245">
        <v>166917</v>
      </c>
      <c r="H258" s="245">
        <v>0</v>
      </c>
      <c r="I258" s="245">
        <v>0</v>
      </c>
      <c r="J258" s="245">
        <v>0</v>
      </c>
      <c r="K258" s="245">
        <v>0</v>
      </c>
      <c r="L258" s="266">
        <f>SUM(M258:N258)</f>
        <v>0</v>
      </c>
      <c r="M258" s="245">
        <v>0</v>
      </c>
      <c r="N258" s="245">
        <v>0</v>
      </c>
    </row>
    <row r="259" spans="1:14" ht="12.75" customHeight="1" thickBot="1" x14ac:dyDescent="0.25">
      <c r="A259" s="342">
        <v>752</v>
      </c>
      <c r="B259" s="342"/>
      <c r="C259" s="1255" t="s">
        <v>435</v>
      </c>
      <c r="D259" s="355">
        <f>SUM(D260,D261)</f>
        <v>62000</v>
      </c>
      <c r="E259" s="355">
        <f t="shared" ref="E259:N259" si="63">SUM(E260,E261)</f>
        <v>62000</v>
      </c>
      <c r="F259" s="355">
        <f t="shared" si="63"/>
        <v>62000</v>
      </c>
      <c r="G259" s="355">
        <f t="shared" si="63"/>
        <v>37579</v>
      </c>
      <c r="H259" s="355">
        <f t="shared" si="63"/>
        <v>24421</v>
      </c>
      <c r="I259" s="355">
        <f t="shared" si="63"/>
        <v>0</v>
      </c>
      <c r="J259" s="355">
        <f t="shared" si="63"/>
        <v>0</v>
      </c>
      <c r="K259" s="355">
        <f t="shared" si="63"/>
        <v>0</v>
      </c>
      <c r="L259" s="355">
        <f t="shared" si="63"/>
        <v>0</v>
      </c>
      <c r="M259" s="355">
        <f t="shared" si="63"/>
        <v>0</v>
      </c>
      <c r="N259" s="355">
        <f t="shared" si="63"/>
        <v>0</v>
      </c>
    </row>
    <row r="260" spans="1:14" ht="12.75" customHeight="1" thickTop="1" x14ac:dyDescent="0.2">
      <c r="A260" s="342"/>
      <c r="B260" s="373">
        <v>75212</v>
      </c>
      <c r="C260" s="282" t="s">
        <v>532</v>
      </c>
      <c r="D260" s="266">
        <f>SUM(E260,L260)</f>
        <v>3000</v>
      </c>
      <c r="E260" s="266">
        <f>SUM(F260,I260:K260)</f>
        <v>3000</v>
      </c>
      <c r="F260" s="266">
        <f>SUM(G260:H260)</f>
        <v>3000</v>
      </c>
      <c r="G260" s="245">
        <v>0</v>
      </c>
      <c r="H260" s="245">
        <v>3000</v>
      </c>
      <c r="I260" s="245">
        <v>0</v>
      </c>
      <c r="J260" s="245">
        <v>0</v>
      </c>
      <c r="K260" s="245">
        <v>0</v>
      </c>
      <c r="L260" s="266">
        <f>SUM(M260:N260)</f>
        <v>0</v>
      </c>
      <c r="M260" s="245">
        <v>0</v>
      </c>
      <c r="N260" s="245">
        <v>0</v>
      </c>
    </row>
    <row r="261" spans="1:14" ht="12.75" customHeight="1" x14ac:dyDescent="0.2">
      <c r="A261" s="342"/>
      <c r="B261" s="373">
        <v>75224</v>
      </c>
      <c r="C261" s="282" t="s">
        <v>437</v>
      </c>
      <c r="D261" s="266">
        <f>SUM(E261,L261)</f>
        <v>59000</v>
      </c>
      <c r="E261" s="266">
        <f>SUM(F261,I261:K261)</f>
        <v>59000</v>
      </c>
      <c r="F261" s="266">
        <f>SUM(G261:H261)</f>
        <v>59000</v>
      </c>
      <c r="G261" s="245">
        <v>37579</v>
      </c>
      <c r="H261" s="245">
        <v>21421</v>
      </c>
      <c r="I261" s="245">
        <v>0</v>
      </c>
      <c r="J261" s="245">
        <v>0</v>
      </c>
      <c r="K261" s="245">
        <v>0</v>
      </c>
      <c r="L261" s="266">
        <f>SUM(M261:N261)</f>
        <v>0</v>
      </c>
      <c r="M261" s="245">
        <v>0</v>
      </c>
      <c r="N261" s="245">
        <v>0</v>
      </c>
    </row>
    <row r="262" spans="1:14" ht="12.75" customHeight="1" x14ac:dyDescent="0.2">
      <c r="A262" s="342">
        <v>754</v>
      </c>
      <c r="B262" s="373"/>
      <c r="C262" s="363" t="s">
        <v>40</v>
      </c>
      <c r="D262" s="256"/>
      <c r="E262" s="256"/>
      <c r="F262" s="247"/>
      <c r="G262" s="247"/>
      <c r="H262" s="247"/>
      <c r="I262" s="247"/>
      <c r="J262" s="247"/>
      <c r="K262" s="247"/>
      <c r="L262" s="256"/>
      <c r="M262" s="247"/>
      <c r="N262" s="247"/>
    </row>
    <row r="263" spans="1:14" ht="12.75" customHeight="1" thickBot="1" x14ac:dyDescent="0.25">
      <c r="A263" s="342"/>
      <c r="B263" s="342"/>
      <c r="C263" s="1255" t="s">
        <v>682</v>
      </c>
      <c r="D263" s="355">
        <f>SUM(D264)</f>
        <v>21770703</v>
      </c>
      <c r="E263" s="355">
        <f t="shared" ref="E263:N263" si="64">SUM(E264)</f>
        <v>21770703</v>
      </c>
      <c r="F263" s="355">
        <f t="shared" si="64"/>
        <v>21370890</v>
      </c>
      <c r="G263" s="355">
        <f t="shared" si="64"/>
        <v>20634521</v>
      </c>
      <c r="H263" s="355">
        <f t="shared" si="64"/>
        <v>736369</v>
      </c>
      <c r="I263" s="355">
        <f t="shared" si="64"/>
        <v>0</v>
      </c>
      <c r="J263" s="355">
        <f t="shared" si="64"/>
        <v>399813</v>
      </c>
      <c r="K263" s="355">
        <f t="shared" si="64"/>
        <v>0</v>
      </c>
      <c r="L263" s="355">
        <f t="shared" si="64"/>
        <v>0</v>
      </c>
      <c r="M263" s="355">
        <f t="shared" si="64"/>
        <v>0</v>
      </c>
      <c r="N263" s="355">
        <f t="shared" si="64"/>
        <v>0</v>
      </c>
    </row>
    <row r="264" spans="1:14" ht="12.75" customHeight="1" thickTop="1" x14ac:dyDescent="0.2">
      <c r="A264" s="216"/>
      <c r="B264" s="373">
        <v>75411</v>
      </c>
      <c r="C264" s="374" t="s">
        <v>443</v>
      </c>
      <c r="D264" s="254">
        <f>SUM(E264,L264)</f>
        <v>21770703</v>
      </c>
      <c r="E264" s="254">
        <f>SUM(F264,I264:K264)</f>
        <v>21770703</v>
      </c>
      <c r="F264" s="254">
        <f>SUM(G264:H264)</f>
        <v>21370890</v>
      </c>
      <c r="G264" s="352">
        <v>20634521</v>
      </c>
      <c r="H264" s="352">
        <v>736369</v>
      </c>
      <c r="I264" s="352">
        <v>0</v>
      </c>
      <c r="J264" s="352">
        <v>399813</v>
      </c>
      <c r="K264" s="352">
        <v>0</v>
      </c>
      <c r="L264" s="254">
        <f>SUM(M264:N264)</f>
        <v>0</v>
      </c>
      <c r="M264" s="352">
        <v>0</v>
      </c>
      <c r="N264" s="352">
        <v>0</v>
      </c>
    </row>
    <row r="265" spans="1:14" ht="12.75" customHeight="1" thickBot="1" x14ac:dyDescent="0.25">
      <c r="A265" s="342">
        <v>755</v>
      </c>
      <c r="B265" s="342"/>
      <c r="C265" s="1255" t="s">
        <v>43</v>
      </c>
      <c r="D265" s="355">
        <f>SUM(D266)</f>
        <v>302880</v>
      </c>
      <c r="E265" s="355">
        <f t="shared" ref="E265:N265" si="65">SUM(E266)</f>
        <v>302880</v>
      </c>
      <c r="F265" s="355">
        <f t="shared" si="65"/>
        <v>155983.20000000001</v>
      </c>
      <c r="G265" s="355">
        <f t="shared" si="65"/>
        <v>19829</v>
      </c>
      <c r="H265" s="355">
        <f t="shared" si="65"/>
        <v>136154.20000000001</v>
      </c>
      <c r="I265" s="355">
        <f t="shared" si="65"/>
        <v>146896.79999999999</v>
      </c>
      <c r="J265" s="355">
        <f t="shared" si="65"/>
        <v>0</v>
      </c>
      <c r="K265" s="355">
        <f t="shared" si="65"/>
        <v>0</v>
      </c>
      <c r="L265" s="355">
        <f t="shared" si="65"/>
        <v>0</v>
      </c>
      <c r="M265" s="355">
        <f t="shared" si="65"/>
        <v>0</v>
      </c>
      <c r="N265" s="355">
        <f t="shared" si="65"/>
        <v>0</v>
      </c>
    </row>
    <row r="266" spans="1:14" ht="12.75" customHeight="1" thickTop="1" x14ac:dyDescent="0.2">
      <c r="A266" s="342"/>
      <c r="B266" s="373">
        <v>75515</v>
      </c>
      <c r="C266" s="282" t="s">
        <v>534</v>
      </c>
      <c r="D266" s="266">
        <f>SUM(E266,L266)</f>
        <v>302880</v>
      </c>
      <c r="E266" s="266">
        <f>SUM(F266,I266:K266)</f>
        <v>302880</v>
      </c>
      <c r="F266" s="266">
        <f>SUM(G266:H266)</f>
        <v>155983.20000000001</v>
      </c>
      <c r="G266" s="245">
        <v>19829</v>
      </c>
      <c r="H266" s="245">
        <v>136154.20000000001</v>
      </c>
      <c r="I266" s="245">
        <v>146896.79999999999</v>
      </c>
      <c r="J266" s="245">
        <v>0</v>
      </c>
      <c r="K266" s="245">
        <v>0</v>
      </c>
      <c r="L266" s="266">
        <f>SUM(M266:N266)</f>
        <v>0</v>
      </c>
      <c r="M266" s="245">
        <v>0</v>
      </c>
      <c r="N266" s="245">
        <v>0</v>
      </c>
    </row>
    <row r="267" spans="1:14" ht="12.75" customHeight="1" thickBot="1" x14ac:dyDescent="0.25">
      <c r="A267" s="342">
        <v>852</v>
      </c>
      <c r="B267" s="342"/>
      <c r="C267" s="1255" t="s">
        <v>683</v>
      </c>
      <c r="D267" s="355">
        <f>SUM(D269)</f>
        <v>672000</v>
      </c>
      <c r="E267" s="355">
        <f t="shared" ref="E267:N267" si="66">SUM(E269)</f>
        <v>672000</v>
      </c>
      <c r="F267" s="355">
        <f t="shared" si="66"/>
        <v>671750</v>
      </c>
      <c r="G267" s="355">
        <f t="shared" si="66"/>
        <v>542293</v>
      </c>
      <c r="H267" s="355">
        <f t="shared" si="66"/>
        <v>129457</v>
      </c>
      <c r="I267" s="355">
        <f t="shared" si="66"/>
        <v>0</v>
      </c>
      <c r="J267" s="355">
        <f t="shared" si="66"/>
        <v>250</v>
      </c>
      <c r="K267" s="355">
        <f t="shared" si="66"/>
        <v>0</v>
      </c>
      <c r="L267" s="355">
        <f t="shared" si="66"/>
        <v>0</v>
      </c>
      <c r="M267" s="355">
        <f t="shared" si="66"/>
        <v>0</v>
      </c>
      <c r="N267" s="355">
        <f t="shared" si="66"/>
        <v>0</v>
      </c>
    </row>
    <row r="268" spans="1:14" ht="12.75" customHeight="1" thickTop="1" x14ac:dyDescent="0.2">
      <c r="A268" s="342"/>
      <c r="B268" s="373">
        <v>85205</v>
      </c>
      <c r="C268" s="1277" t="s">
        <v>615</v>
      </c>
      <c r="D268" s="362"/>
      <c r="E268" s="362"/>
      <c r="F268" s="362"/>
      <c r="G268" s="362"/>
      <c r="H268" s="362"/>
      <c r="I268" s="362"/>
      <c r="J268" s="362"/>
      <c r="K268" s="362"/>
      <c r="L268" s="362"/>
      <c r="M268" s="362"/>
      <c r="N268" s="362"/>
    </row>
    <row r="269" spans="1:14" ht="12.75" customHeight="1" x14ac:dyDescent="0.2">
      <c r="A269" s="835"/>
      <c r="B269" s="835"/>
      <c r="C269" s="282" t="s">
        <v>616</v>
      </c>
      <c r="D269" s="266">
        <f>SUM(E269,L269)</f>
        <v>672000</v>
      </c>
      <c r="E269" s="266">
        <f>SUM(F269,I269:K269)</f>
        <v>672000</v>
      </c>
      <c r="F269" s="266">
        <f>SUM(G269:H269)</f>
        <v>671750</v>
      </c>
      <c r="G269" s="245">
        <v>542293</v>
      </c>
      <c r="H269" s="245">
        <v>129457</v>
      </c>
      <c r="I269" s="245">
        <v>0</v>
      </c>
      <c r="J269" s="245">
        <v>250</v>
      </c>
      <c r="K269" s="245">
        <v>0</v>
      </c>
      <c r="L269" s="266">
        <f>SUM(M269:N269)</f>
        <v>0</v>
      </c>
      <c r="M269" s="245">
        <v>0</v>
      </c>
      <c r="N269" s="245">
        <v>0</v>
      </c>
    </row>
    <row r="270" spans="1:14" ht="12.75" customHeight="1" x14ac:dyDescent="0.2">
      <c r="A270" s="1259">
        <v>853</v>
      </c>
      <c r="B270" s="1259"/>
      <c r="C270" s="1278" t="s">
        <v>73</v>
      </c>
      <c r="D270" s="283"/>
      <c r="E270" s="283"/>
      <c r="F270" s="246"/>
      <c r="G270" s="246"/>
      <c r="H270" s="246"/>
      <c r="I270" s="246"/>
      <c r="J270" s="246"/>
      <c r="K270" s="246"/>
      <c r="L270" s="283"/>
      <c r="M270" s="246"/>
      <c r="N270" s="246"/>
    </row>
    <row r="271" spans="1:14" ht="12.75" customHeight="1" thickBot="1" x14ac:dyDescent="0.25">
      <c r="A271" s="342"/>
      <c r="B271" s="342"/>
      <c r="C271" s="1255" t="s">
        <v>74</v>
      </c>
      <c r="D271" s="355">
        <f>SUM(D272)</f>
        <v>697000</v>
      </c>
      <c r="E271" s="355">
        <f t="shared" ref="E271:N271" si="67">SUM(E272)</f>
        <v>697000</v>
      </c>
      <c r="F271" s="355">
        <f t="shared" si="67"/>
        <v>697000</v>
      </c>
      <c r="G271" s="355">
        <f t="shared" si="67"/>
        <v>508500</v>
      </c>
      <c r="H271" s="355">
        <f t="shared" si="67"/>
        <v>188500</v>
      </c>
      <c r="I271" s="355">
        <f t="shared" si="67"/>
        <v>0</v>
      </c>
      <c r="J271" s="355">
        <f t="shared" si="67"/>
        <v>0</v>
      </c>
      <c r="K271" s="355">
        <f t="shared" si="67"/>
        <v>0</v>
      </c>
      <c r="L271" s="355">
        <f t="shared" si="67"/>
        <v>0</v>
      </c>
      <c r="M271" s="355">
        <f t="shared" si="67"/>
        <v>0</v>
      </c>
      <c r="N271" s="355">
        <f t="shared" si="67"/>
        <v>0</v>
      </c>
    </row>
    <row r="272" spans="1:14" ht="12.75" customHeight="1" thickTop="1" x14ac:dyDescent="0.2">
      <c r="A272" s="835"/>
      <c r="B272" s="835">
        <v>85321</v>
      </c>
      <c r="C272" s="282" t="s">
        <v>481</v>
      </c>
      <c r="D272" s="266">
        <f>SUM(E272,L272)</f>
        <v>697000</v>
      </c>
      <c r="E272" s="266">
        <f>SUM(F272,I272:K272)</f>
        <v>697000</v>
      </c>
      <c r="F272" s="266">
        <f>SUM(G272:H272)</f>
        <v>697000</v>
      </c>
      <c r="G272" s="245">
        <v>508500</v>
      </c>
      <c r="H272" s="245">
        <v>188500</v>
      </c>
      <c r="I272" s="245">
        <v>0</v>
      </c>
      <c r="J272" s="245">
        <v>0</v>
      </c>
      <c r="K272" s="245">
        <v>0</v>
      </c>
      <c r="L272" s="266">
        <f>SUM(M272:N272)</f>
        <v>0</v>
      </c>
      <c r="M272" s="245">
        <v>0</v>
      </c>
      <c r="N272" s="245">
        <v>0</v>
      </c>
    </row>
    <row r="273" spans="1:14" ht="15" customHeight="1" x14ac:dyDescent="0.2">
      <c r="A273" s="384"/>
      <c r="B273" s="385"/>
      <c r="C273" s="386" t="s">
        <v>68</v>
      </c>
      <c r="D273" s="387">
        <f>SUM(D248,D250,D252,D257,D259,D263,D265,D267,D271)</f>
        <v>25646440</v>
      </c>
      <c r="E273" s="387">
        <f t="shared" ref="E273:N273" si="68">SUM(E248,E250,E252,E257,E259,E263,E265,E267,E271)</f>
        <v>25646440</v>
      </c>
      <c r="F273" s="387">
        <f t="shared" si="68"/>
        <v>25098980.199999999</v>
      </c>
      <c r="G273" s="387">
        <f t="shared" si="68"/>
        <v>23382004</v>
      </c>
      <c r="H273" s="387">
        <f t="shared" si="68"/>
        <v>1716976.2</v>
      </c>
      <c r="I273" s="387">
        <f t="shared" si="68"/>
        <v>146896.79999999999</v>
      </c>
      <c r="J273" s="387">
        <f t="shared" si="68"/>
        <v>400563</v>
      </c>
      <c r="K273" s="387">
        <f t="shared" si="68"/>
        <v>0</v>
      </c>
      <c r="L273" s="387">
        <f t="shared" si="68"/>
        <v>0</v>
      </c>
      <c r="M273" s="387">
        <f t="shared" si="68"/>
        <v>0</v>
      </c>
      <c r="N273" s="387">
        <f t="shared" si="68"/>
        <v>0</v>
      </c>
    </row>
    <row r="274" spans="1:14" ht="23.25" customHeight="1" x14ac:dyDescent="0.2">
      <c r="A274" s="1279"/>
      <c r="B274" s="1280"/>
      <c r="C274" s="1281" t="s">
        <v>684</v>
      </c>
      <c r="D274" s="1282">
        <f>SUM(D149,D221,D246,D273)</f>
        <v>1485216612.5699999</v>
      </c>
      <c r="E274" s="1282">
        <f t="shared" ref="E274:N274" si="69">SUM(E149,E221,E246,E273)</f>
        <v>1069280051.9399999</v>
      </c>
      <c r="F274" s="1282">
        <f t="shared" si="69"/>
        <v>877564624.57999992</v>
      </c>
      <c r="G274" s="1282">
        <f t="shared" si="69"/>
        <v>506701539.61000001</v>
      </c>
      <c r="H274" s="1282">
        <f t="shared" si="69"/>
        <v>370863084.97000003</v>
      </c>
      <c r="I274" s="1282">
        <f t="shared" si="69"/>
        <v>120982752.16000001</v>
      </c>
      <c r="J274" s="1282">
        <f t="shared" si="69"/>
        <v>64242705</v>
      </c>
      <c r="K274" s="1282">
        <f t="shared" si="69"/>
        <v>6489970.2000000002</v>
      </c>
      <c r="L274" s="1282">
        <f t="shared" si="69"/>
        <v>415936560.63</v>
      </c>
      <c r="M274" s="1282">
        <f t="shared" si="69"/>
        <v>225360329</v>
      </c>
      <c r="N274" s="1282">
        <f t="shared" si="69"/>
        <v>190576231.63</v>
      </c>
    </row>
    <row r="276" spans="1:14" x14ac:dyDescent="0.2">
      <c r="F276" s="388"/>
      <c r="G276" s="388"/>
      <c r="H276" s="383"/>
      <c r="L276" s="383"/>
    </row>
    <row r="277" spans="1:14" x14ac:dyDescent="0.2">
      <c r="K277" s="379"/>
    </row>
    <row r="278" spans="1:14" s="336" customFormat="1" ht="11.25" x14ac:dyDescent="0.2">
      <c r="A278" s="336" t="s">
        <v>685</v>
      </c>
      <c r="E278" s="379"/>
      <c r="I278" s="379"/>
    </row>
    <row r="280" spans="1:14" x14ac:dyDescent="0.2">
      <c r="F280" s="383"/>
      <c r="I280" s="379"/>
    </row>
    <row r="285" spans="1:14" x14ac:dyDescent="0.2">
      <c r="B285" s="389"/>
      <c r="C285" s="389"/>
      <c r="D285" s="390"/>
      <c r="E285" s="390"/>
    </row>
    <row r="286" spans="1:14" x14ac:dyDescent="0.2">
      <c r="B286" s="389"/>
      <c r="C286" s="389"/>
      <c r="D286" s="390"/>
      <c r="E286" s="390"/>
    </row>
    <row r="287" spans="1:14" x14ac:dyDescent="0.2">
      <c r="B287" s="389"/>
      <c r="C287" s="389"/>
      <c r="D287" s="390"/>
      <c r="E287" s="390"/>
    </row>
    <row r="288" spans="1:14" x14ac:dyDescent="0.2">
      <c r="B288" s="5"/>
      <c r="C288" s="5"/>
      <c r="D288" s="390"/>
      <c r="E288" s="390"/>
    </row>
    <row r="289" spans="2:5" x14ac:dyDescent="0.2">
      <c r="B289" s="5"/>
      <c r="C289" s="5"/>
      <c r="D289" s="390"/>
      <c r="E289" s="390"/>
    </row>
    <row r="290" spans="2:5" x14ac:dyDescent="0.2">
      <c r="B290" s="5"/>
      <c r="C290" s="5"/>
      <c r="D290" s="390"/>
      <c r="E290" s="390"/>
    </row>
    <row r="291" spans="2:5" x14ac:dyDescent="0.2">
      <c r="B291" s="5"/>
      <c r="C291" s="5"/>
      <c r="D291" s="390"/>
      <c r="E291" s="390"/>
    </row>
    <row r="292" spans="2:5" x14ac:dyDescent="0.2">
      <c r="B292" s="5"/>
      <c r="C292" s="5"/>
      <c r="D292" s="390"/>
      <c r="E292" s="390"/>
    </row>
    <row r="293" spans="2:5" x14ac:dyDescent="0.2">
      <c r="B293" s="5"/>
      <c r="C293" s="5"/>
      <c r="D293" s="390"/>
      <c r="E293" s="390"/>
    </row>
    <row r="294" spans="2:5" x14ac:dyDescent="0.2">
      <c r="B294" s="5"/>
      <c r="C294" s="5"/>
      <c r="D294" s="390"/>
      <c r="E294" s="390"/>
    </row>
    <row r="295" spans="2:5" x14ac:dyDescent="0.2">
      <c r="B295" s="389"/>
      <c r="C295" s="389"/>
      <c r="D295" s="390"/>
      <c r="E295" s="390"/>
    </row>
    <row r="296" spans="2:5" x14ac:dyDescent="0.2">
      <c r="B296" s="5"/>
      <c r="C296" s="5"/>
      <c r="D296" s="390"/>
      <c r="E296" s="390"/>
    </row>
    <row r="297" spans="2:5" x14ac:dyDescent="0.2">
      <c r="B297" s="5"/>
      <c r="C297" s="5"/>
      <c r="D297" s="390"/>
      <c r="E297" s="390"/>
    </row>
  </sheetData>
  <pageMargins left="0.31496062992125984" right="0" top="0.94488188976377963" bottom="0.9055118110236221" header="0.51181102362204722" footer="0.51181102362204722"/>
  <pageSetup paperSize="9" scale="80" orientation="landscape" useFirstPageNumber="1" r:id="rId1"/>
  <headerFooter>
    <oddFooter>&amp;C&amp;"Arial,Pogrubiony"&amp;8&amp;P</oddFooter>
  </headerFooter>
  <rowBreaks count="7" manualBreakCount="7">
    <brk id="46" max="16383" man="1"/>
    <brk id="87" max="16383" man="1"/>
    <brk id="126" max="16383" man="1"/>
    <brk id="166" max="16383" man="1"/>
    <brk id="206" max="16383" man="1"/>
    <brk id="242" max="16383" man="1"/>
    <brk id="269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18D40A-FF86-4FDD-8218-F2B24D20D254}">
  <dimension ref="A1:U203"/>
  <sheetViews>
    <sheetView zoomScaleNormal="100" workbookViewId="0">
      <pane ySplit="20" topLeftCell="A198" activePane="bottomLeft" state="frozen"/>
      <selection pane="bottomLeft" activeCell="A12" sqref="A12:P203"/>
    </sheetView>
  </sheetViews>
  <sheetFormatPr defaultRowHeight="12.75" x14ac:dyDescent="0.25"/>
  <cols>
    <col min="1" max="1" width="4.140625" style="601" customWidth="1"/>
    <col min="2" max="2" width="5.85546875" style="601" customWidth="1"/>
    <col min="3" max="3" width="4.85546875" style="429" hidden="1" customWidth="1"/>
    <col min="4" max="4" width="70.28515625" style="398" customWidth="1"/>
    <col min="5" max="6" width="12" style="395" customWidth="1"/>
    <col min="7" max="7" width="12.140625" style="395" customWidth="1"/>
    <col min="8" max="9" width="12" style="395" customWidth="1"/>
    <col min="10" max="10" width="11.85546875" style="395" hidden="1" customWidth="1"/>
    <col min="11" max="11" width="10.85546875" style="395" hidden="1" customWidth="1"/>
    <col min="12" max="12" width="11.140625" style="395" hidden="1" customWidth="1"/>
    <col min="13" max="13" width="10.28515625" style="395" hidden="1" customWidth="1"/>
    <col min="14" max="14" width="9.28515625" style="395" hidden="1" customWidth="1"/>
    <col min="15" max="15" width="11.28515625" style="395" customWidth="1"/>
    <col min="16" max="16" width="13.7109375" style="602" customWidth="1"/>
    <col min="17" max="17" width="9.140625" style="398" customWidth="1"/>
    <col min="18" max="18" width="13" style="398" customWidth="1"/>
    <col min="19" max="19" width="10.42578125" style="398" hidden="1" customWidth="1"/>
    <col min="20" max="20" width="10.140625" style="398" customWidth="1"/>
    <col min="21" max="262" width="9.140625" style="398"/>
    <col min="263" max="263" width="4.140625" style="398" customWidth="1"/>
    <col min="264" max="264" width="5.5703125" style="398" customWidth="1"/>
    <col min="265" max="265" width="59.5703125" style="398" customWidth="1"/>
    <col min="266" max="267" width="11.28515625" style="398" customWidth="1"/>
    <col min="268" max="268" width="10.5703125" style="398" customWidth="1"/>
    <col min="269" max="269" width="10.42578125" style="398" customWidth="1"/>
    <col min="270" max="270" width="10.7109375" style="398" customWidth="1"/>
    <col min="271" max="271" width="9" style="398" customWidth="1"/>
    <col min="272" max="272" width="11.5703125" style="398" customWidth="1"/>
    <col min="273" max="273" width="9.140625" style="398"/>
    <col min="274" max="274" width="13" style="398" customWidth="1"/>
    <col min="275" max="518" width="9.140625" style="398"/>
    <col min="519" max="519" width="4.140625" style="398" customWidth="1"/>
    <col min="520" max="520" width="5.5703125" style="398" customWidth="1"/>
    <col min="521" max="521" width="59.5703125" style="398" customWidth="1"/>
    <col min="522" max="523" width="11.28515625" style="398" customWidth="1"/>
    <col min="524" max="524" width="10.5703125" style="398" customWidth="1"/>
    <col min="525" max="525" width="10.42578125" style="398" customWidth="1"/>
    <col min="526" max="526" width="10.7109375" style="398" customWidth="1"/>
    <col min="527" max="527" width="9" style="398" customWidth="1"/>
    <col min="528" max="528" width="11.5703125" style="398" customWidth="1"/>
    <col min="529" max="529" width="9.140625" style="398"/>
    <col min="530" max="530" width="13" style="398" customWidth="1"/>
    <col min="531" max="774" width="9.140625" style="398"/>
    <col min="775" max="775" width="4.140625" style="398" customWidth="1"/>
    <col min="776" max="776" width="5.5703125" style="398" customWidth="1"/>
    <col min="777" max="777" width="59.5703125" style="398" customWidth="1"/>
    <col min="778" max="779" width="11.28515625" style="398" customWidth="1"/>
    <col min="780" max="780" width="10.5703125" style="398" customWidth="1"/>
    <col min="781" max="781" width="10.42578125" style="398" customWidth="1"/>
    <col min="782" max="782" width="10.7109375" style="398" customWidth="1"/>
    <col min="783" max="783" width="9" style="398" customWidth="1"/>
    <col min="784" max="784" width="11.5703125" style="398" customWidth="1"/>
    <col min="785" max="785" width="9.140625" style="398"/>
    <col min="786" max="786" width="13" style="398" customWidth="1"/>
    <col min="787" max="1030" width="9.140625" style="398"/>
    <col min="1031" max="1031" width="4.140625" style="398" customWidth="1"/>
    <col min="1032" max="1032" width="5.5703125" style="398" customWidth="1"/>
    <col min="1033" max="1033" width="59.5703125" style="398" customWidth="1"/>
    <col min="1034" max="1035" width="11.28515625" style="398" customWidth="1"/>
    <col min="1036" max="1036" width="10.5703125" style="398" customWidth="1"/>
    <col min="1037" max="1037" width="10.42578125" style="398" customWidth="1"/>
    <col min="1038" max="1038" width="10.7109375" style="398" customWidth="1"/>
    <col min="1039" max="1039" width="9" style="398" customWidth="1"/>
    <col min="1040" max="1040" width="11.5703125" style="398" customWidth="1"/>
    <col min="1041" max="1041" width="9.140625" style="398"/>
    <col min="1042" max="1042" width="13" style="398" customWidth="1"/>
    <col min="1043" max="1286" width="9.140625" style="398"/>
    <col min="1287" max="1287" width="4.140625" style="398" customWidth="1"/>
    <col min="1288" max="1288" width="5.5703125" style="398" customWidth="1"/>
    <col min="1289" max="1289" width="59.5703125" style="398" customWidth="1"/>
    <col min="1290" max="1291" width="11.28515625" style="398" customWidth="1"/>
    <col min="1292" max="1292" width="10.5703125" style="398" customWidth="1"/>
    <col min="1293" max="1293" width="10.42578125" style="398" customWidth="1"/>
    <col min="1294" max="1294" width="10.7109375" style="398" customWidth="1"/>
    <col min="1295" max="1295" width="9" style="398" customWidth="1"/>
    <col min="1296" max="1296" width="11.5703125" style="398" customWidth="1"/>
    <col min="1297" max="1297" width="9.140625" style="398"/>
    <col min="1298" max="1298" width="13" style="398" customWidth="1"/>
    <col min="1299" max="1542" width="9.140625" style="398"/>
    <col min="1543" max="1543" width="4.140625" style="398" customWidth="1"/>
    <col min="1544" max="1544" width="5.5703125" style="398" customWidth="1"/>
    <col min="1545" max="1545" width="59.5703125" style="398" customWidth="1"/>
    <col min="1546" max="1547" width="11.28515625" style="398" customWidth="1"/>
    <col min="1548" max="1548" width="10.5703125" style="398" customWidth="1"/>
    <col min="1549" max="1549" width="10.42578125" style="398" customWidth="1"/>
    <col min="1550" max="1550" width="10.7109375" style="398" customWidth="1"/>
    <col min="1551" max="1551" width="9" style="398" customWidth="1"/>
    <col min="1552" max="1552" width="11.5703125" style="398" customWidth="1"/>
    <col min="1553" max="1553" width="9.140625" style="398"/>
    <col min="1554" max="1554" width="13" style="398" customWidth="1"/>
    <col min="1555" max="1798" width="9.140625" style="398"/>
    <col min="1799" max="1799" width="4.140625" style="398" customWidth="1"/>
    <col min="1800" max="1800" width="5.5703125" style="398" customWidth="1"/>
    <col min="1801" max="1801" width="59.5703125" style="398" customWidth="1"/>
    <col min="1802" max="1803" width="11.28515625" style="398" customWidth="1"/>
    <col min="1804" max="1804" width="10.5703125" style="398" customWidth="1"/>
    <col min="1805" max="1805" width="10.42578125" style="398" customWidth="1"/>
    <col min="1806" max="1806" width="10.7109375" style="398" customWidth="1"/>
    <col min="1807" max="1807" width="9" style="398" customWidth="1"/>
    <col min="1808" max="1808" width="11.5703125" style="398" customWidth="1"/>
    <col min="1809" max="1809" width="9.140625" style="398"/>
    <col min="1810" max="1810" width="13" style="398" customWidth="1"/>
    <col min="1811" max="2054" width="9.140625" style="398"/>
    <col min="2055" max="2055" width="4.140625" style="398" customWidth="1"/>
    <col min="2056" max="2056" width="5.5703125" style="398" customWidth="1"/>
    <col min="2057" max="2057" width="59.5703125" style="398" customWidth="1"/>
    <col min="2058" max="2059" width="11.28515625" style="398" customWidth="1"/>
    <col min="2060" max="2060" width="10.5703125" style="398" customWidth="1"/>
    <col min="2061" max="2061" width="10.42578125" style="398" customWidth="1"/>
    <col min="2062" max="2062" width="10.7109375" style="398" customWidth="1"/>
    <col min="2063" max="2063" width="9" style="398" customWidth="1"/>
    <col min="2064" max="2064" width="11.5703125" style="398" customWidth="1"/>
    <col min="2065" max="2065" width="9.140625" style="398"/>
    <col min="2066" max="2066" width="13" style="398" customWidth="1"/>
    <col min="2067" max="2310" width="9.140625" style="398"/>
    <col min="2311" max="2311" width="4.140625" style="398" customWidth="1"/>
    <col min="2312" max="2312" width="5.5703125" style="398" customWidth="1"/>
    <col min="2313" max="2313" width="59.5703125" style="398" customWidth="1"/>
    <col min="2314" max="2315" width="11.28515625" style="398" customWidth="1"/>
    <col min="2316" max="2316" width="10.5703125" style="398" customWidth="1"/>
    <col min="2317" max="2317" width="10.42578125" style="398" customWidth="1"/>
    <col min="2318" max="2318" width="10.7109375" style="398" customWidth="1"/>
    <col min="2319" max="2319" width="9" style="398" customWidth="1"/>
    <col min="2320" max="2320" width="11.5703125" style="398" customWidth="1"/>
    <col min="2321" max="2321" width="9.140625" style="398"/>
    <col min="2322" max="2322" width="13" style="398" customWidth="1"/>
    <col min="2323" max="2566" width="9.140625" style="398"/>
    <col min="2567" max="2567" width="4.140625" style="398" customWidth="1"/>
    <col min="2568" max="2568" width="5.5703125" style="398" customWidth="1"/>
    <col min="2569" max="2569" width="59.5703125" style="398" customWidth="1"/>
    <col min="2570" max="2571" width="11.28515625" style="398" customWidth="1"/>
    <col min="2572" max="2572" width="10.5703125" style="398" customWidth="1"/>
    <col min="2573" max="2573" width="10.42578125" style="398" customWidth="1"/>
    <col min="2574" max="2574" width="10.7109375" style="398" customWidth="1"/>
    <col min="2575" max="2575" width="9" style="398" customWidth="1"/>
    <col min="2576" max="2576" width="11.5703125" style="398" customWidth="1"/>
    <col min="2577" max="2577" width="9.140625" style="398"/>
    <col min="2578" max="2578" width="13" style="398" customWidth="1"/>
    <col min="2579" max="2822" width="9.140625" style="398"/>
    <col min="2823" max="2823" width="4.140625" style="398" customWidth="1"/>
    <col min="2824" max="2824" width="5.5703125" style="398" customWidth="1"/>
    <col min="2825" max="2825" width="59.5703125" style="398" customWidth="1"/>
    <col min="2826" max="2827" width="11.28515625" style="398" customWidth="1"/>
    <col min="2828" max="2828" width="10.5703125" style="398" customWidth="1"/>
    <col min="2829" max="2829" width="10.42578125" style="398" customWidth="1"/>
    <col min="2830" max="2830" width="10.7109375" style="398" customWidth="1"/>
    <col min="2831" max="2831" width="9" style="398" customWidth="1"/>
    <col min="2832" max="2832" width="11.5703125" style="398" customWidth="1"/>
    <col min="2833" max="2833" width="9.140625" style="398"/>
    <col min="2834" max="2834" width="13" style="398" customWidth="1"/>
    <col min="2835" max="3078" width="9.140625" style="398"/>
    <col min="3079" max="3079" width="4.140625" style="398" customWidth="1"/>
    <col min="3080" max="3080" width="5.5703125" style="398" customWidth="1"/>
    <col min="3081" max="3081" width="59.5703125" style="398" customWidth="1"/>
    <col min="3082" max="3083" width="11.28515625" style="398" customWidth="1"/>
    <col min="3084" max="3084" width="10.5703125" style="398" customWidth="1"/>
    <col min="3085" max="3085" width="10.42578125" style="398" customWidth="1"/>
    <col min="3086" max="3086" width="10.7109375" style="398" customWidth="1"/>
    <col min="3087" max="3087" width="9" style="398" customWidth="1"/>
    <col min="3088" max="3088" width="11.5703125" style="398" customWidth="1"/>
    <col min="3089" max="3089" width="9.140625" style="398"/>
    <col min="3090" max="3090" width="13" style="398" customWidth="1"/>
    <col min="3091" max="3334" width="9.140625" style="398"/>
    <col min="3335" max="3335" width="4.140625" style="398" customWidth="1"/>
    <col min="3336" max="3336" width="5.5703125" style="398" customWidth="1"/>
    <col min="3337" max="3337" width="59.5703125" style="398" customWidth="1"/>
    <col min="3338" max="3339" width="11.28515625" style="398" customWidth="1"/>
    <col min="3340" max="3340" width="10.5703125" style="398" customWidth="1"/>
    <col min="3341" max="3341" width="10.42578125" style="398" customWidth="1"/>
    <col min="3342" max="3342" width="10.7109375" style="398" customWidth="1"/>
    <col min="3343" max="3343" width="9" style="398" customWidth="1"/>
    <col min="3344" max="3344" width="11.5703125" style="398" customWidth="1"/>
    <col min="3345" max="3345" width="9.140625" style="398"/>
    <col min="3346" max="3346" width="13" style="398" customWidth="1"/>
    <col min="3347" max="3590" width="9.140625" style="398"/>
    <col min="3591" max="3591" width="4.140625" style="398" customWidth="1"/>
    <col min="3592" max="3592" width="5.5703125" style="398" customWidth="1"/>
    <col min="3593" max="3593" width="59.5703125" style="398" customWidth="1"/>
    <col min="3594" max="3595" width="11.28515625" style="398" customWidth="1"/>
    <col min="3596" max="3596" width="10.5703125" style="398" customWidth="1"/>
    <col min="3597" max="3597" width="10.42578125" style="398" customWidth="1"/>
    <col min="3598" max="3598" width="10.7109375" style="398" customWidth="1"/>
    <col min="3599" max="3599" width="9" style="398" customWidth="1"/>
    <col min="3600" max="3600" width="11.5703125" style="398" customWidth="1"/>
    <col min="3601" max="3601" width="9.140625" style="398"/>
    <col min="3602" max="3602" width="13" style="398" customWidth="1"/>
    <col min="3603" max="3846" width="9.140625" style="398"/>
    <col min="3847" max="3847" width="4.140625" style="398" customWidth="1"/>
    <col min="3848" max="3848" width="5.5703125" style="398" customWidth="1"/>
    <col min="3849" max="3849" width="59.5703125" style="398" customWidth="1"/>
    <col min="3850" max="3851" width="11.28515625" style="398" customWidth="1"/>
    <col min="3852" max="3852" width="10.5703125" style="398" customWidth="1"/>
    <col min="3853" max="3853" width="10.42578125" style="398" customWidth="1"/>
    <col min="3854" max="3854" width="10.7109375" style="398" customWidth="1"/>
    <col min="3855" max="3855" width="9" style="398" customWidth="1"/>
    <col min="3856" max="3856" width="11.5703125" style="398" customWidth="1"/>
    <col min="3857" max="3857" width="9.140625" style="398"/>
    <col min="3858" max="3858" width="13" style="398" customWidth="1"/>
    <col min="3859" max="4102" width="9.140625" style="398"/>
    <col min="4103" max="4103" width="4.140625" style="398" customWidth="1"/>
    <col min="4104" max="4104" width="5.5703125" style="398" customWidth="1"/>
    <col min="4105" max="4105" width="59.5703125" style="398" customWidth="1"/>
    <col min="4106" max="4107" width="11.28515625" style="398" customWidth="1"/>
    <col min="4108" max="4108" width="10.5703125" style="398" customWidth="1"/>
    <col min="4109" max="4109" width="10.42578125" style="398" customWidth="1"/>
    <col min="4110" max="4110" width="10.7109375" style="398" customWidth="1"/>
    <col min="4111" max="4111" width="9" style="398" customWidth="1"/>
    <col min="4112" max="4112" width="11.5703125" style="398" customWidth="1"/>
    <col min="4113" max="4113" width="9.140625" style="398"/>
    <col min="4114" max="4114" width="13" style="398" customWidth="1"/>
    <col min="4115" max="4358" width="9.140625" style="398"/>
    <col min="4359" max="4359" width="4.140625" style="398" customWidth="1"/>
    <col min="4360" max="4360" width="5.5703125" style="398" customWidth="1"/>
    <col min="4361" max="4361" width="59.5703125" style="398" customWidth="1"/>
    <col min="4362" max="4363" width="11.28515625" style="398" customWidth="1"/>
    <col min="4364" max="4364" width="10.5703125" style="398" customWidth="1"/>
    <col min="4365" max="4365" width="10.42578125" style="398" customWidth="1"/>
    <col min="4366" max="4366" width="10.7109375" style="398" customWidth="1"/>
    <col min="4367" max="4367" width="9" style="398" customWidth="1"/>
    <col min="4368" max="4368" width="11.5703125" style="398" customWidth="1"/>
    <col min="4369" max="4369" width="9.140625" style="398"/>
    <col min="4370" max="4370" width="13" style="398" customWidth="1"/>
    <col min="4371" max="4614" width="9.140625" style="398"/>
    <col min="4615" max="4615" width="4.140625" style="398" customWidth="1"/>
    <col min="4616" max="4616" width="5.5703125" style="398" customWidth="1"/>
    <col min="4617" max="4617" width="59.5703125" style="398" customWidth="1"/>
    <col min="4618" max="4619" width="11.28515625" style="398" customWidth="1"/>
    <col min="4620" max="4620" width="10.5703125" style="398" customWidth="1"/>
    <col min="4621" max="4621" width="10.42578125" style="398" customWidth="1"/>
    <col min="4622" max="4622" width="10.7109375" style="398" customWidth="1"/>
    <col min="4623" max="4623" width="9" style="398" customWidth="1"/>
    <col min="4624" max="4624" width="11.5703125" style="398" customWidth="1"/>
    <col min="4625" max="4625" width="9.140625" style="398"/>
    <col min="4626" max="4626" width="13" style="398" customWidth="1"/>
    <col min="4627" max="4870" width="9.140625" style="398"/>
    <col min="4871" max="4871" width="4.140625" style="398" customWidth="1"/>
    <col min="4872" max="4872" width="5.5703125" style="398" customWidth="1"/>
    <col min="4873" max="4873" width="59.5703125" style="398" customWidth="1"/>
    <col min="4874" max="4875" width="11.28515625" style="398" customWidth="1"/>
    <col min="4876" max="4876" width="10.5703125" style="398" customWidth="1"/>
    <col min="4877" max="4877" width="10.42578125" style="398" customWidth="1"/>
    <col min="4878" max="4878" width="10.7109375" style="398" customWidth="1"/>
    <col min="4879" max="4879" width="9" style="398" customWidth="1"/>
    <col min="4880" max="4880" width="11.5703125" style="398" customWidth="1"/>
    <col min="4881" max="4881" width="9.140625" style="398"/>
    <col min="4882" max="4882" width="13" style="398" customWidth="1"/>
    <col min="4883" max="5126" width="9.140625" style="398"/>
    <col min="5127" max="5127" width="4.140625" style="398" customWidth="1"/>
    <col min="5128" max="5128" width="5.5703125" style="398" customWidth="1"/>
    <col min="5129" max="5129" width="59.5703125" style="398" customWidth="1"/>
    <col min="5130" max="5131" width="11.28515625" style="398" customWidth="1"/>
    <col min="5132" max="5132" width="10.5703125" style="398" customWidth="1"/>
    <col min="5133" max="5133" width="10.42578125" style="398" customWidth="1"/>
    <col min="5134" max="5134" width="10.7109375" style="398" customWidth="1"/>
    <col min="5135" max="5135" width="9" style="398" customWidth="1"/>
    <col min="5136" max="5136" width="11.5703125" style="398" customWidth="1"/>
    <col min="5137" max="5137" width="9.140625" style="398"/>
    <col min="5138" max="5138" width="13" style="398" customWidth="1"/>
    <col min="5139" max="5382" width="9.140625" style="398"/>
    <col min="5383" max="5383" width="4.140625" style="398" customWidth="1"/>
    <col min="5384" max="5384" width="5.5703125" style="398" customWidth="1"/>
    <col min="5385" max="5385" width="59.5703125" style="398" customWidth="1"/>
    <col min="5386" max="5387" width="11.28515625" style="398" customWidth="1"/>
    <col min="5388" max="5388" width="10.5703125" style="398" customWidth="1"/>
    <col min="5389" max="5389" width="10.42578125" style="398" customWidth="1"/>
    <col min="5390" max="5390" width="10.7109375" style="398" customWidth="1"/>
    <col min="5391" max="5391" width="9" style="398" customWidth="1"/>
    <col min="5392" max="5392" width="11.5703125" style="398" customWidth="1"/>
    <col min="5393" max="5393" width="9.140625" style="398"/>
    <col min="5394" max="5394" width="13" style="398" customWidth="1"/>
    <col min="5395" max="5638" width="9.140625" style="398"/>
    <col min="5639" max="5639" width="4.140625" style="398" customWidth="1"/>
    <col min="5640" max="5640" width="5.5703125" style="398" customWidth="1"/>
    <col min="5641" max="5641" width="59.5703125" style="398" customWidth="1"/>
    <col min="5642" max="5643" width="11.28515625" style="398" customWidth="1"/>
    <col min="5644" max="5644" width="10.5703125" style="398" customWidth="1"/>
    <col min="5645" max="5645" width="10.42578125" style="398" customWidth="1"/>
    <col min="5646" max="5646" width="10.7109375" style="398" customWidth="1"/>
    <col min="5647" max="5647" width="9" style="398" customWidth="1"/>
    <col min="5648" max="5648" width="11.5703125" style="398" customWidth="1"/>
    <col min="5649" max="5649" width="9.140625" style="398"/>
    <col min="5650" max="5650" width="13" style="398" customWidth="1"/>
    <col min="5651" max="5894" width="9.140625" style="398"/>
    <col min="5895" max="5895" width="4.140625" style="398" customWidth="1"/>
    <col min="5896" max="5896" width="5.5703125" style="398" customWidth="1"/>
    <col min="5897" max="5897" width="59.5703125" style="398" customWidth="1"/>
    <col min="5898" max="5899" width="11.28515625" style="398" customWidth="1"/>
    <col min="5900" max="5900" width="10.5703125" style="398" customWidth="1"/>
    <col min="5901" max="5901" width="10.42578125" style="398" customWidth="1"/>
    <col min="5902" max="5902" width="10.7109375" style="398" customWidth="1"/>
    <col min="5903" max="5903" width="9" style="398" customWidth="1"/>
    <col min="5904" max="5904" width="11.5703125" style="398" customWidth="1"/>
    <col min="5905" max="5905" width="9.140625" style="398"/>
    <col min="5906" max="5906" width="13" style="398" customWidth="1"/>
    <col min="5907" max="6150" width="9.140625" style="398"/>
    <col min="6151" max="6151" width="4.140625" style="398" customWidth="1"/>
    <col min="6152" max="6152" width="5.5703125" style="398" customWidth="1"/>
    <col min="6153" max="6153" width="59.5703125" style="398" customWidth="1"/>
    <col min="6154" max="6155" width="11.28515625" style="398" customWidth="1"/>
    <col min="6156" max="6156" width="10.5703125" style="398" customWidth="1"/>
    <col min="6157" max="6157" width="10.42578125" style="398" customWidth="1"/>
    <col min="6158" max="6158" width="10.7109375" style="398" customWidth="1"/>
    <col min="6159" max="6159" width="9" style="398" customWidth="1"/>
    <col min="6160" max="6160" width="11.5703125" style="398" customWidth="1"/>
    <col min="6161" max="6161" width="9.140625" style="398"/>
    <col min="6162" max="6162" width="13" style="398" customWidth="1"/>
    <col min="6163" max="6406" width="9.140625" style="398"/>
    <col min="6407" max="6407" width="4.140625" style="398" customWidth="1"/>
    <col min="6408" max="6408" width="5.5703125" style="398" customWidth="1"/>
    <col min="6409" max="6409" width="59.5703125" style="398" customWidth="1"/>
    <col min="6410" max="6411" width="11.28515625" style="398" customWidth="1"/>
    <col min="6412" max="6412" width="10.5703125" style="398" customWidth="1"/>
    <col min="6413" max="6413" width="10.42578125" style="398" customWidth="1"/>
    <col min="6414" max="6414" width="10.7109375" style="398" customWidth="1"/>
    <col min="6415" max="6415" width="9" style="398" customWidth="1"/>
    <col min="6416" max="6416" width="11.5703125" style="398" customWidth="1"/>
    <col min="6417" max="6417" width="9.140625" style="398"/>
    <col min="6418" max="6418" width="13" style="398" customWidth="1"/>
    <col min="6419" max="6662" width="9.140625" style="398"/>
    <col min="6663" max="6663" width="4.140625" style="398" customWidth="1"/>
    <col min="6664" max="6664" width="5.5703125" style="398" customWidth="1"/>
    <col min="6665" max="6665" width="59.5703125" style="398" customWidth="1"/>
    <col min="6666" max="6667" width="11.28515625" style="398" customWidth="1"/>
    <col min="6668" max="6668" width="10.5703125" style="398" customWidth="1"/>
    <col min="6669" max="6669" width="10.42578125" style="398" customWidth="1"/>
    <col min="6670" max="6670" width="10.7109375" style="398" customWidth="1"/>
    <col min="6671" max="6671" width="9" style="398" customWidth="1"/>
    <col min="6672" max="6672" width="11.5703125" style="398" customWidth="1"/>
    <col min="6673" max="6673" width="9.140625" style="398"/>
    <col min="6674" max="6674" width="13" style="398" customWidth="1"/>
    <col min="6675" max="6918" width="9.140625" style="398"/>
    <col min="6919" max="6919" width="4.140625" style="398" customWidth="1"/>
    <col min="6920" max="6920" width="5.5703125" style="398" customWidth="1"/>
    <col min="6921" max="6921" width="59.5703125" style="398" customWidth="1"/>
    <col min="6922" max="6923" width="11.28515625" style="398" customWidth="1"/>
    <col min="6924" max="6924" width="10.5703125" style="398" customWidth="1"/>
    <col min="6925" max="6925" width="10.42578125" style="398" customWidth="1"/>
    <col min="6926" max="6926" width="10.7109375" style="398" customWidth="1"/>
    <col min="6927" max="6927" width="9" style="398" customWidth="1"/>
    <col min="6928" max="6928" width="11.5703125" style="398" customWidth="1"/>
    <col min="6929" max="6929" width="9.140625" style="398"/>
    <col min="6930" max="6930" width="13" style="398" customWidth="1"/>
    <col min="6931" max="7174" width="9.140625" style="398"/>
    <col min="7175" max="7175" width="4.140625" style="398" customWidth="1"/>
    <col min="7176" max="7176" width="5.5703125" style="398" customWidth="1"/>
    <col min="7177" max="7177" width="59.5703125" style="398" customWidth="1"/>
    <col min="7178" max="7179" width="11.28515625" style="398" customWidth="1"/>
    <col min="7180" max="7180" width="10.5703125" style="398" customWidth="1"/>
    <col min="7181" max="7181" width="10.42578125" style="398" customWidth="1"/>
    <col min="7182" max="7182" width="10.7109375" style="398" customWidth="1"/>
    <col min="7183" max="7183" width="9" style="398" customWidth="1"/>
    <col min="7184" max="7184" width="11.5703125" style="398" customWidth="1"/>
    <col min="7185" max="7185" width="9.140625" style="398"/>
    <col min="7186" max="7186" width="13" style="398" customWidth="1"/>
    <col min="7187" max="7430" width="9.140625" style="398"/>
    <col min="7431" max="7431" width="4.140625" style="398" customWidth="1"/>
    <col min="7432" max="7432" width="5.5703125" style="398" customWidth="1"/>
    <col min="7433" max="7433" width="59.5703125" style="398" customWidth="1"/>
    <col min="7434" max="7435" width="11.28515625" style="398" customWidth="1"/>
    <col min="7436" max="7436" width="10.5703125" style="398" customWidth="1"/>
    <col min="7437" max="7437" width="10.42578125" style="398" customWidth="1"/>
    <col min="7438" max="7438" width="10.7109375" style="398" customWidth="1"/>
    <col min="7439" max="7439" width="9" style="398" customWidth="1"/>
    <col min="7440" max="7440" width="11.5703125" style="398" customWidth="1"/>
    <col min="7441" max="7441" width="9.140625" style="398"/>
    <col min="7442" max="7442" width="13" style="398" customWidth="1"/>
    <col min="7443" max="7686" width="9.140625" style="398"/>
    <col min="7687" max="7687" width="4.140625" style="398" customWidth="1"/>
    <col min="7688" max="7688" width="5.5703125" style="398" customWidth="1"/>
    <col min="7689" max="7689" width="59.5703125" style="398" customWidth="1"/>
    <col min="7690" max="7691" width="11.28515625" style="398" customWidth="1"/>
    <col min="7692" max="7692" width="10.5703125" style="398" customWidth="1"/>
    <col min="7693" max="7693" width="10.42578125" style="398" customWidth="1"/>
    <col min="7694" max="7694" width="10.7109375" style="398" customWidth="1"/>
    <col min="7695" max="7695" width="9" style="398" customWidth="1"/>
    <col min="7696" max="7696" width="11.5703125" style="398" customWidth="1"/>
    <col min="7697" max="7697" width="9.140625" style="398"/>
    <col min="7698" max="7698" width="13" style="398" customWidth="1"/>
    <col min="7699" max="7942" width="9.140625" style="398"/>
    <col min="7943" max="7943" width="4.140625" style="398" customWidth="1"/>
    <col min="7944" max="7944" width="5.5703125" style="398" customWidth="1"/>
    <col min="7945" max="7945" width="59.5703125" style="398" customWidth="1"/>
    <col min="7946" max="7947" width="11.28515625" style="398" customWidth="1"/>
    <col min="7948" max="7948" width="10.5703125" style="398" customWidth="1"/>
    <col min="7949" max="7949" width="10.42578125" style="398" customWidth="1"/>
    <col min="7950" max="7950" width="10.7109375" style="398" customWidth="1"/>
    <col min="7951" max="7951" width="9" style="398" customWidth="1"/>
    <col min="7952" max="7952" width="11.5703125" style="398" customWidth="1"/>
    <col min="7953" max="7953" width="9.140625" style="398"/>
    <col min="7954" max="7954" width="13" style="398" customWidth="1"/>
    <col min="7955" max="8198" width="9.140625" style="398"/>
    <col min="8199" max="8199" width="4.140625" style="398" customWidth="1"/>
    <col min="8200" max="8200" width="5.5703125" style="398" customWidth="1"/>
    <col min="8201" max="8201" width="59.5703125" style="398" customWidth="1"/>
    <col min="8202" max="8203" width="11.28515625" style="398" customWidth="1"/>
    <col min="8204" max="8204" width="10.5703125" style="398" customWidth="1"/>
    <col min="8205" max="8205" width="10.42578125" style="398" customWidth="1"/>
    <col min="8206" max="8206" width="10.7109375" style="398" customWidth="1"/>
    <col min="8207" max="8207" width="9" style="398" customWidth="1"/>
    <col min="8208" max="8208" width="11.5703125" style="398" customWidth="1"/>
    <col min="8209" max="8209" width="9.140625" style="398"/>
    <col min="8210" max="8210" width="13" style="398" customWidth="1"/>
    <col min="8211" max="8454" width="9.140625" style="398"/>
    <col min="8455" max="8455" width="4.140625" style="398" customWidth="1"/>
    <col min="8456" max="8456" width="5.5703125" style="398" customWidth="1"/>
    <col min="8457" max="8457" width="59.5703125" style="398" customWidth="1"/>
    <col min="8458" max="8459" width="11.28515625" style="398" customWidth="1"/>
    <col min="8460" max="8460" width="10.5703125" style="398" customWidth="1"/>
    <col min="8461" max="8461" width="10.42578125" style="398" customWidth="1"/>
    <col min="8462" max="8462" width="10.7109375" style="398" customWidth="1"/>
    <col min="8463" max="8463" width="9" style="398" customWidth="1"/>
    <col min="8464" max="8464" width="11.5703125" style="398" customWidth="1"/>
    <col min="8465" max="8465" width="9.140625" style="398"/>
    <col min="8466" max="8466" width="13" style="398" customWidth="1"/>
    <col min="8467" max="8710" width="9.140625" style="398"/>
    <col min="8711" max="8711" width="4.140625" style="398" customWidth="1"/>
    <col min="8712" max="8712" width="5.5703125" style="398" customWidth="1"/>
    <col min="8713" max="8713" width="59.5703125" style="398" customWidth="1"/>
    <col min="8714" max="8715" width="11.28515625" style="398" customWidth="1"/>
    <col min="8716" max="8716" width="10.5703125" style="398" customWidth="1"/>
    <col min="8717" max="8717" width="10.42578125" style="398" customWidth="1"/>
    <col min="8718" max="8718" width="10.7109375" style="398" customWidth="1"/>
    <col min="8719" max="8719" width="9" style="398" customWidth="1"/>
    <col min="8720" max="8720" width="11.5703125" style="398" customWidth="1"/>
    <col min="8721" max="8721" width="9.140625" style="398"/>
    <col min="8722" max="8722" width="13" style="398" customWidth="1"/>
    <col min="8723" max="8966" width="9.140625" style="398"/>
    <col min="8967" max="8967" width="4.140625" style="398" customWidth="1"/>
    <col min="8968" max="8968" width="5.5703125" style="398" customWidth="1"/>
    <col min="8969" max="8969" width="59.5703125" style="398" customWidth="1"/>
    <col min="8970" max="8971" width="11.28515625" style="398" customWidth="1"/>
    <col min="8972" max="8972" width="10.5703125" style="398" customWidth="1"/>
    <col min="8973" max="8973" width="10.42578125" style="398" customWidth="1"/>
    <col min="8974" max="8974" width="10.7109375" style="398" customWidth="1"/>
    <col min="8975" max="8975" width="9" style="398" customWidth="1"/>
    <col min="8976" max="8976" width="11.5703125" style="398" customWidth="1"/>
    <col min="8977" max="8977" width="9.140625" style="398"/>
    <col min="8978" max="8978" width="13" style="398" customWidth="1"/>
    <col min="8979" max="9222" width="9.140625" style="398"/>
    <col min="9223" max="9223" width="4.140625" style="398" customWidth="1"/>
    <col min="9224" max="9224" width="5.5703125" style="398" customWidth="1"/>
    <col min="9225" max="9225" width="59.5703125" style="398" customWidth="1"/>
    <col min="9226" max="9227" width="11.28515625" style="398" customWidth="1"/>
    <col min="9228" max="9228" width="10.5703125" style="398" customWidth="1"/>
    <col min="9229" max="9229" width="10.42578125" style="398" customWidth="1"/>
    <col min="9230" max="9230" width="10.7109375" style="398" customWidth="1"/>
    <col min="9231" max="9231" width="9" style="398" customWidth="1"/>
    <col min="9232" max="9232" width="11.5703125" style="398" customWidth="1"/>
    <col min="9233" max="9233" width="9.140625" style="398"/>
    <col min="9234" max="9234" width="13" style="398" customWidth="1"/>
    <col min="9235" max="9478" width="9.140625" style="398"/>
    <col min="9479" max="9479" width="4.140625" style="398" customWidth="1"/>
    <col min="9480" max="9480" width="5.5703125" style="398" customWidth="1"/>
    <col min="9481" max="9481" width="59.5703125" style="398" customWidth="1"/>
    <col min="9482" max="9483" width="11.28515625" style="398" customWidth="1"/>
    <col min="9484" max="9484" width="10.5703125" style="398" customWidth="1"/>
    <col min="9485" max="9485" width="10.42578125" style="398" customWidth="1"/>
    <col min="9486" max="9486" width="10.7109375" style="398" customWidth="1"/>
    <col min="9487" max="9487" width="9" style="398" customWidth="1"/>
    <col min="9488" max="9488" width="11.5703125" style="398" customWidth="1"/>
    <col min="9489" max="9489" width="9.140625" style="398"/>
    <col min="9490" max="9490" width="13" style="398" customWidth="1"/>
    <col min="9491" max="9734" width="9.140625" style="398"/>
    <col min="9735" max="9735" width="4.140625" style="398" customWidth="1"/>
    <col min="9736" max="9736" width="5.5703125" style="398" customWidth="1"/>
    <col min="9737" max="9737" width="59.5703125" style="398" customWidth="1"/>
    <col min="9738" max="9739" width="11.28515625" style="398" customWidth="1"/>
    <col min="9740" max="9740" width="10.5703125" style="398" customWidth="1"/>
    <col min="9741" max="9741" width="10.42578125" style="398" customWidth="1"/>
    <col min="9742" max="9742" width="10.7109375" style="398" customWidth="1"/>
    <col min="9743" max="9743" width="9" style="398" customWidth="1"/>
    <col min="9744" max="9744" width="11.5703125" style="398" customWidth="1"/>
    <col min="9745" max="9745" width="9.140625" style="398"/>
    <col min="9746" max="9746" width="13" style="398" customWidth="1"/>
    <col min="9747" max="9990" width="9.140625" style="398"/>
    <col min="9991" max="9991" width="4.140625" style="398" customWidth="1"/>
    <col min="9992" max="9992" width="5.5703125" style="398" customWidth="1"/>
    <col min="9993" max="9993" width="59.5703125" style="398" customWidth="1"/>
    <col min="9994" max="9995" width="11.28515625" style="398" customWidth="1"/>
    <col min="9996" max="9996" width="10.5703125" style="398" customWidth="1"/>
    <col min="9997" max="9997" width="10.42578125" style="398" customWidth="1"/>
    <col min="9998" max="9998" width="10.7109375" style="398" customWidth="1"/>
    <col min="9999" max="9999" width="9" style="398" customWidth="1"/>
    <col min="10000" max="10000" width="11.5703125" style="398" customWidth="1"/>
    <col min="10001" max="10001" width="9.140625" style="398"/>
    <col min="10002" max="10002" width="13" style="398" customWidth="1"/>
    <col min="10003" max="10246" width="9.140625" style="398"/>
    <col min="10247" max="10247" width="4.140625" style="398" customWidth="1"/>
    <col min="10248" max="10248" width="5.5703125" style="398" customWidth="1"/>
    <col min="10249" max="10249" width="59.5703125" style="398" customWidth="1"/>
    <col min="10250" max="10251" width="11.28515625" style="398" customWidth="1"/>
    <col min="10252" max="10252" width="10.5703125" style="398" customWidth="1"/>
    <col min="10253" max="10253" width="10.42578125" style="398" customWidth="1"/>
    <col min="10254" max="10254" width="10.7109375" style="398" customWidth="1"/>
    <col min="10255" max="10255" width="9" style="398" customWidth="1"/>
    <col min="10256" max="10256" width="11.5703125" style="398" customWidth="1"/>
    <col min="10257" max="10257" width="9.140625" style="398"/>
    <col min="10258" max="10258" width="13" style="398" customWidth="1"/>
    <col min="10259" max="10502" width="9.140625" style="398"/>
    <col min="10503" max="10503" width="4.140625" style="398" customWidth="1"/>
    <col min="10504" max="10504" width="5.5703125" style="398" customWidth="1"/>
    <col min="10505" max="10505" width="59.5703125" style="398" customWidth="1"/>
    <col min="10506" max="10507" width="11.28515625" style="398" customWidth="1"/>
    <col min="10508" max="10508" width="10.5703125" style="398" customWidth="1"/>
    <col min="10509" max="10509" width="10.42578125" style="398" customWidth="1"/>
    <col min="10510" max="10510" width="10.7109375" style="398" customWidth="1"/>
    <col min="10511" max="10511" width="9" style="398" customWidth="1"/>
    <col min="10512" max="10512" width="11.5703125" style="398" customWidth="1"/>
    <col min="10513" max="10513" width="9.140625" style="398"/>
    <col min="10514" max="10514" width="13" style="398" customWidth="1"/>
    <col min="10515" max="10758" width="9.140625" style="398"/>
    <col min="10759" max="10759" width="4.140625" style="398" customWidth="1"/>
    <col min="10760" max="10760" width="5.5703125" style="398" customWidth="1"/>
    <col min="10761" max="10761" width="59.5703125" style="398" customWidth="1"/>
    <col min="10762" max="10763" width="11.28515625" style="398" customWidth="1"/>
    <col min="10764" max="10764" width="10.5703125" style="398" customWidth="1"/>
    <col min="10765" max="10765" width="10.42578125" style="398" customWidth="1"/>
    <col min="10766" max="10766" width="10.7109375" style="398" customWidth="1"/>
    <col min="10767" max="10767" width="9" style="398" customWidth="1"/>
    <col min="10768" max="10768" width="11.5703125" style="398" customWidth="1"/>
    <col min="10769" max="10769" width="9.140625" style="398"/>
    <col min="10770" max="10770" width="13" style="398" customWidth="1"/>
    <col min="10771" max="11014" width="9.140625" style="398"/>
    <col min="11015" max="11015" width="4.140625" style="398" customWidth="1"/>
    <col min="11016" max="11016" width="5.5703125" style="398" customWidth="1"/>
    <col min="11017" max="11017" width="59.5703125" style="398" customWidth="1"/>
    <col min="11018" max="11019" width="11.28515625" style="398" customWidth="1"/>
    <col min="11020" max="11020" width="10.5703125" style="398" customWidth="1"/>
    <col min="11021" max="11021" width="10.42578125" style="398" customWidth="1"/>
    <col min="11022" max="11022" width="10.7109375" style="398" customWidth="1"/>
    <col min="11023" max="11023" width="9" style="398" customWidth="1"/>
    <col min="11024" max="11024" width="11.5703125" style="398" customWidth="1"/>
    <col min="11025" max="11025" width="9.140625" style="398"/>
    <col min="11026" max="11026" width="13" style="398" customWidth="1"/>
    <col min="11027" max="11270" width="9.140625" style="398"/>
    <col min="11271" max="11271" width="4.140625" style="398" customWidth="1"/>
    <col min="11272" max="11272" width="5.5703125" style="398" customWidth="1"/>
    <col min="11273" max="11273" width="59.5703125" style="398" customWidth="1"/>
    <col min="11274" max="11275" width="11.28515625" style="398" customWidth="1"/>
    <col min="11276" max="11276" width="10.5703125" style="398" customWidth="1"/>
    <col min="11277" max="11277" width="10.42578125" style="398" customWidth="1"/>
    <col min="11278" max="11278" width="10.7109375" style="398" customWidth="1"/>
    <col min="11279" max="11279" width="9" style="398" customWidth="1"/>
    <col min="11280" max="11280" width="11.5703125" style="398" customWidth="1"/>
    <col min="11281" max="11281" width="9.140625" style="398"/>
    <col min="11282" max="11282" width="13" style="398" customWidth="1"/>
    <col min="11283" max="11526" width="9.140625" style="398"/>
    <col min="11527" max="11527" width="4.140625" style="398" customWidth="1"/>
    <col min="11528" max="11528" width="5.5703125" style="398" customWidth="1"/>
    <col min="11529" max="11529" width="59.5703125" style="398" customWidth="1"/>
    <col min="11530" max="11531" width="11.28515625" style="398" customWidth="1"/>
    <col min="11532" max="11532" width="10.5703125" style="398" customWidth="1"/>
    <col min="11533" max="11533" width="10.42578125" style="398" customWidth="1"/>
    <col min="11534" max="11534" width="10.7109375" style="398" customWidth="1"/>
    <col min="11535" max="11535" width="9" style="398" customWidth="1"/>
    <col min="11536" max="11536" width="11.5703125" style="398" customWidth="1"/>
    <col min="11537" max="11537" width="9.140625" style="398"/>
    <col min="11538" max="11538" width="13" style="398" customWidth="1"/>
    <col min="11539" max="11782" width="9.140625" style="398"/>
    <col min="11783" max="11783" width="4.140625" style="398" customWidth="1"/>
    <col min="11784" max="11784" width="5.5703125" style="398" customWidth="1"/>
    <col min="11785" max="11785" width="59.5703125" style="398" customWidth="1"/>
    <col min="11786" max="11787" width="11.28515625" style="398" customWidth="1"/>
    <col min="11788" max="11788" width="10.5703125" style="398" customWidth="1"/>
    <col min="11789" max="11789" width="10.42578125" style="398" customWidth="1"/>
    <col min="11790" max="11790" width="10.7109375" style="398" customWidth="1"/>
    <col min="11791" max="11791" width="9" style="398" customWidth="1"/>
    <col min="11792" max="11792" width="11.5703125" style="398" customWidth="1"/>
    <col min="11793" max="11793" width="9.140625" style="398"/>
    <col min="11794" max="11794" width="13" style="398" customWidth="1"/>
    <col min="11795" max="12038" width="9.140625" style="398"/>
    <col min="12039" max="12039" width="4.140625" style="398" customWidth="1"/>
    <col min="12040" max="12040" width="5.5703125" style="398" customWidth="1"/>
    <col min="12041" max="12041" width="59.5703125" style="398" customWidth="1"/>
    <col min="12042" max="12043" width="11.28515625" style="398" customWidth="1"/>
    <col min="12044" max="12044" width="10.5703125" style="398" customWidth="1"/>
    <col min="12045" max="12045" width="10.42578125" style="398" customWidth="1"/>
    <col min="12046" max="12046" width="10.7109375" style="398" customWidth="1"/>
    <col min="12047" max="12047" width="9" style="398" customWidth="1"/>
    <col min="12048" max="12048" width="11.5703125" style="398" customWidth="1"/>
    <col min="12049" max="12049" width="9.140625" style="398"/>
    <col min="12050" max="12050" width="13" style="398" customWidth="1"/>
    <col min="12051" max="12294" width="9.140625" style="398"/>
    <col min="12295" max="12295" width="4.140625" style="398" customWidth="1"/>
    <col min="12296" max="12296" width="5.5703125" style="398" customWidth="1"/>
    <col min="12297" max="12297" width="59.5703125" style="398" customWidth="1"/>
    <col min="12298" max="12299" width="11.28515625" style="398" customWidth="1"/>
    <col min="12300" max="12300" width="10.5703125" style="398" customWidth="1"/>
    <col min="12301" max="12301" width="10.42578125" style="398" customWidth="1"/>
    <col min="12302" max="12302" width="10.7109375" style="398" customWidth="1"/>
    <col min="12303" max="12303" width="9" style="398" customWidth="1"/>
    <col min="12304" max="12304" width="11.5703125" style="398" customWidth="1"/>
    <col min="12305" max="12305" width="9.140625" style="398"/>
    <col min="12306" max="12306" width="13" style="398" customWidth="1"/>
    <col min="12307" max="12550" width="9.140625" style="398"/>
    <col min="12551" max="12551" width="4.140625" style="398" customWidth="1"/>
    <col min="12552" max="12552" width="5.5703125" style="398" customWidth="1"/>
    <col min="12553" max="12553" width="59.5703125" style="398" customWidth="1"/>
    <col min="12554" max="12555" width="11.28515625" style="398" customWidth="1"/>
    <col min="12556" max="12556" width="10.5703125" style="398" customWidth="1"/>
    <col min="12557" max="12557" width="10.42578125" style="398" customWidth="1"/>
    <col min="12558" max="12558" width="10.7109375" style="398" customWidth="1"/>
    <col min="12559" max="12559" width="9" style="398" customWidth="1"/>
    <col min="12560" max="12560" width="11.5703125" style="398" customWidth="1"/>
    <col min="12561" max="12561" width="9.140625" style="398"/>
    <col min="12562" max="12562" width="13" style="398" customWidth="1"/>
    <col min="12563" max="12806" width="9.140625" style="398"/>
    <col min="12807" max="12807" width="4.140625" style="398" customWidth="1"/>
    <col min="12808" max="12808" width="5.5703125" style="398" customWidth="1"/>
    <col min="12809" max="12809" width="59.5703125" style="398" customWidth="1"/>
    <col min="12810" max="12811" width="11.28515625" style="398" customWidth="1"/>
    <col min="12812" max="12812" width="10.5703125" style="398" customWidth="1"/>
    <col min="12813" max="12813" width="10.42578125" style="398" customWidth="1"/>
    <col min="12814" max="12814" width="10.7109375" style="398" customWidth="1"/>
    <col min="12815" max="12815" width="9" style="398" customWidth="1"/>
    <col min="12816" max="12816" width="11.5703125" style="398" customWidth="1"/>
    <col min="12817" max="12817" width="9.140625" style="398"/>
    <col min="12818" max="12818" width="13" style="398" customWidth="1"/>
    <col min="12819" max="13062" width="9.140625" style="398"/>
    <col min="13063" max="13063" width="4.140625" style="398" customWidth="1"/>
    <col min="13064" max="13064" width="5.5703125" style="398" customWidth="1"/>
    <col min="13065" max="13065" width="59.5703125" style="398" customWidth="1"/>
    <col min="13066" max="13067" width="11.28515625" style="398" customWidth="1"/>
    <col min="13068" max="13068" width="10.5703125" style="398" customWidth="1"/>
    <col min="13069" max="13069" width="10.42578125" style="398" customWidth="1"/>
    <col min="13070" max="13070" width="10.7109375" style="398" customWidth="1"/>
    <col min="13071" max="13071" width="9" style="398" customWidth="1"/>
    <col min="13072" max="13072" width="11.5703125" style="398" customWidth="1"/>
    <col min="13073" max="13073" width="9.140625" style="398"/>
    <col min="13074" max="13074" width="13" style="398" customWidth="1"/>
    <col min="13075" max="13318" width="9.140625" style="398"/>
    <col min="13319" max="13319" width="4.140625" style="398" customWidth="1"/>
    <col min="13320" max="13320" width="5.5703125" style="398" customWidth="1"/>
    <col min="13321" max="13321" width="59.5703125" style="398" customWidth="1"/>
    <col min="13322" max="13323" width="11.28515625" style="398" customWidth="1"/>
    <col min="13324" max="13324" width="10.5703125" style="398" customWidth="1"/>
    <col min="13325" max="13325" width="10.42578125" style="398" customWidth="1"/>
    <col min="13326" max="13326" width="10.7109375" style="398" customWidth="1"/>
    <col min="13327" max="13327" width="9" style="398" customWidth="1"/>
    <col min="13328" max="13328" width="11.5703125" style="398" customWidth="1"/>
    <col min="13329" max="13329" width="9.140625" style="398"/>
    <col min="13330" max="13330" width="13" style="398" customWidth="1"/>
    <col min="13331" max="13574" width="9.140625" style="398"/>
    <col min="13575" max="13575" width="4.140625" style="398" customWidth="1"/>
    <col min="13576" max="13576" width="5.5703125" style="398" customWidth="1"/>
    <col min="13577" max="13577" width="59.5703125" style="398" customWidth="1"/>
    <col min="13578" max="13579" width="11.28515625" style="398" customWidth="1"/>
    <col min="13580" max="13580" width="10.5703125" style="398" customWidth="1"/>
    <col min="13581" max="13581" width="10.42578125" style="398" customWidth="1"/>
    <col min="13582" max="13582" width="10.7109375" style="398" customWidth="1"/>
    <col min="13583" max="13583" width="9" style="398" customWidth="1"/>
    <col min="13584" max="13584" width="11.5703125" style="398" customWidth="1"/>
    <col min="13585" max="13585" width="9.140625" style="398"/>
    <col min="13586" max="13586" width="13" style="398" customWidth="1"/>
    <col min="13587" max="13830" width="9.140625" style="398"/>
    <col min="13831" max="13831" width="4.140625" style="398" customWidth="1"/>
    <col min="13832" max="13832" width="5.5703125" style="398" customWidth="1"/>
    <col min="13833" max="13833" width="59.5703125" style="398" customWidth="1"/>
    <col min="13834" max="13835" width="11.28515625" style="398" customWidth="1"/>
    <col min="13836" max="13836" width="10.5703125" style="398" customWidth="1"/>
    <col min="13837" max="13837" width="10.42578125" style="398" customWidth="1"/>
    <col min="13838" max="13838" width="10.7109375" style="398" customWidth="1"/>
    <col min="13839" max="13839" width="9" style="398" customWidth="1"/>
    <col min="13840" max="13840" width="11.5703125" style="398" customWidth="1"/>
    <col min="13841" max="13841" width="9.140625" style="398"/>
    <col min="13842" max="13842" width="13" style="398" customWidth="1"/>
    <col min="13843" max="14086" width="9.140625" style="398"/>
    <col min="14087" max="14087" width="4.140625" style="398" customWidth="1"/>
    <col min="14088" max="14088" width="5.5703125" style="398" customWidth="1"/>
    <col min="14089" max="14089" width="59.5703125" style="398" customWidth="1"/>
    <col min="14090" max="14091" width="11.28515625" style="398" customWidth="1"/>
    <col min="14092" max="14092" width="10.5703125" style="398" customWidth="1"/>
    <col min="14093" max="14093" width="10.42578125" style="398" customWidth="1"/>
    <col min="14094" max="14094" width="10.7109375" style="398" customWidth="1"/>
    <col min="14095" max="14095" width="9" style="398" customWidth="1"/>
    <col min="14096" max="14096" width="11.5703125" style="398" customWidth="1"/>
    <col min="14097" max="14097" width="9.140625" style="398"/>
    <col min="14098" max="14098" width="13" style="398" customWidth="1"/>
    <col min="14099" max="14342" width="9.140625" style="398"/>
    <col min="14343" max="14343" width="4.140625" style="398" customWidth="1"/>
    <col min="14344" max="14344" width="5.5703125" style="398" customWidth="1"/>
    <col min="14345" max="14345" width="59.5703125" style="398" customWidth="1"/>
    <col min="14346" max="14347" width="11.28515625" style="398" customWidth="1"/>
    <col min="14348" max="14348" width="10.5703125" style="398" customWidth="1"/>
    <col min="14349" max="14349" width="10.42578125" style="398" customWidth="1"/>
    <col min="14350" max="14350" width="10.7109375" style="398" customWidth="1"/>
    <col min="14351" max="14351" width="9" style="398" customWidth="1"/>
    <col min="14352" max="14352" width="11.5703125" style="398" customWidth="1"/>
    <col min="14353" max="14353" width="9.140625" style="398"/>
    <col min="14354" max="14354" width="13" style="398" customWidth="1"/>
    <col min="14355" max="14598" width="9.140625" style="398"/>
    <col min="14599" max="14599" width="4.140625" style="398" customWidth="1"/>
    <col min="14600" max="14600" width="5.5703125" style="398" customWidth="1"/>
    <col min="14601" max="14601" width="59.5703125" style="398" customWidth="1"/>
    <col min="14602" max="14603" width="11.28515625" style="398" customWidth="1"/>
    <col min="14604" max="14604" width="10.5703125" style="398" customWidth="1"/>
    <col min="14605" max="14605" width="10.42578125" style="398" customWidth="1"/>
    <col min="14606" max="14606" width="10.7109375" style="398" customWidth="1"/>
    <col min="14607" max="14607" width="9" style="398" customWidth="1"/>
    <col min="14608" max="14608" width="11.5703125" style="398" customWidth="1"/>
    <col min="14609" max="14609" width="9.140625" style="398"/>
    <col min="14610" max="14610" width="13" style="398" customWidth="1"/>
    <col min="14611" max="14854" width="9.140625" style="398"/>
    <col min="14855" max="14855" width="4.140625" style="398" customWidth="1"/>
    <col min="14856" max="14856" width="5.5703125" style="398" customWidth="1"/>
    <col min="14857" max="14857" width="59.5703125" style="398" customWidth="1"/>
    <col min="14858" max="14859" width="11.28515625" style="398" customWidth="1"/>
    <col min="14860" max="14860" width="10.5703125" style="398" customWidth="1"/>
    <col min="14861" max="14861" width="10.42578125" style="398" customWidth="1"/>
    <col min="14862" max="14862" width="10.7109375" style="398" customWidth="1"/>
    <col min="14863" max="14863" width="9" style="398" customWidth="1"/>
    <col min="14864" max="14864" width="11.5703125" style="398" customWidth="1"/>
    <col min="14865" max="14865" width="9.140625" style="398"/>
    <col min="14866" max="14866" width="13" style="398" customWidth="1"/>
    <col min="14867" max="15110" width="9.140625" style="398"/>
    <col min="15111" max="15111" width="4.140625" style="398" customWidth="1"/>
    <col min="15112" max="15112" width="5.5703125" style="398" customWidth="1"/>
    <col min="15113" max="15113" width="59.5703125" style="398" customWidth="1"/>
    <col min="15114" max="15115" width="11.28515625" style="398" customWidth="1"/>
    <col min="15116" max="15116" width="10.5703125" style="398" customWidth="1"/>
    <col min="15117" max="15117" width="10.42578125" style="398" customWidth="1"/>
    <col min="15118" max="15118" width="10.7109375" style="398" customWidth="1"/>
    <col min="15119" max="15119" width="9" style="398" customWidth="1"/>
    <col min="15120" max="15120" width="11.5703125" style="398" customWidth="1"/>
    <col min="15121" max="15121" width="9.140625" style="398"/>
    <col min="15122" max="15122" width="13" style="398" customWidth="1"/>
    <col min="15123" max="15366" width="9.140625" style="398"/>
    <col min="15367" max="15367" width="4.140625" style="398" customWidth="1"/>
    <col min="15368" max="15368" width="5.5703125" style="398" customWidth="1"/>
    <col min="15369" max="15369" width="59.5703125" style="398" customWidth="1"/>
    <col min="15370" max="15371" width="11.28515625" style="398" customWidth="1"/>
    <col min="15372" max="15372" width="10.5703125" style="398" customWidth="1"/>
    <col min="15373" max="15373" width="10.42578125" style="398" customWidth="1"/>
    <col min="15374" max="15374" width="10.7109375" style="398" customWidth="1"/>
    <col min="15375" max="15375" width="9" style="398" customWidth="1"/>
    <col min="15376" max="15376" width="11.5703125" style="398" customWidth="1"/>
    <col min="15377" max="15377" width="9.140625" style="398"/>
    <col min="15378" max="15378" width="13" style="398" customWidth="1"/>
    <col min="15379" max="15622" width="9.140625" style="398"/>
    <col min="15623" max="15623" width="4.140625" style="398" customWidth="1"/>
    <col min="15624" max="15624" width="5.5703125" style="398" customWidth="1"/>
    <col min="15625" max="15625" width="59.5703125" style="398" customWidth="1"/>
    <col min="15626" max="15627" width="11.28515625" style="398" customWidth="1"/>
    <col min="15628" max="15628" width="10.5703125" style="398" customWidth="1"/>
    <col min="15629" max="15629" width="10.42578125" style="398" customWidth="1"/>
    <col min="15630" max="15630" width="10.7109375" style="398" customWidth="1"/>
    <col min="15631" max="15631" width="9" style="398" customWidth="1"/>
    <col min="15632" max="15632" width="11.5703125" style="398" customWidth="1"/>
    <col min="15633" max="15633" width="9.140625" style="398"/>
    <col min="15634" max="15634" width="13" style="398" customWidth="1"/>
    <col min="15635" max="15878" width="9.140625" style="398"/>
    <col min="15879" max="15879" width="4.140625" style="398" customWidth="1"/>
    <col min="15880" max="15880" width="5.5703125" style="398" customWidth="1"/>
    <col min="15881" max="15881" width="59.5703125" style="398" customWidth="1"/>
    <col min="15882" max="15883" width="11.28515625" style="398" customWidth="1"/>
    <col min="15884" max="15884" width="10.5703125" style="398" customWidth="1"/>
    <col min="15885" max="15885" width="10.42578125" style="398" customWidth="1"/>
    <col min="15886" max="15886" width="10.7109375" style="398" customWidth="1"/>
    <col min="15887" max="15887" width="9" style="398" customWidth="1"/>
    <col min="15888" max="15888" width="11.5703125" style="398" customWidth="1"/>
    <col min="15889" max="15889" width="9.140625" style="398"/>
    <col min="15890" max="15890" width="13" style="398" customWidth="1"/>
    <col min="15891" max="16134" width="9.140625" style="398"/>
    <col min="16135" max="16135" width="4.140625" style="398" customWidth="1"/>
    <col min="16136" max="16136" width="5.5703125" style="398" customWidth="1"/>
    <col min="16137" max="16137" width="59.5703125" style="398" customWidth="1"/>
    <col min="16138" max="16139" width="11.28515625" style="398" customWidth="1"/>
    <col min="16140" max="16140" width="10.5703125" style="398" customWidth="1"/>
    <col min="16141" max="16141" width="10.42578125" style="398" customWidth="1"/>
    <col min="16142" max="16142" width="10.7109375" style="398" customWidth="1"/>
    <col min="16143" max="16143" width="9" style="398" customWidth="1"/>
    <col min="16144" max="16144" width="11.5703125" style="398" customWidth="1"/>
    <col min="16145" max="16145" width="9.140625" style="398"/>
    <col min="16146" max="16146" width="13" style="398" customWidth="1"/>
    <col min="16147" max="16384" width="9.140625" style="398"/>
  </cols>
  <sheetData>
    <row r="1" spans="1:21" ht="12" customHeight="1" x14ac:dyDescent="0.25">
      <c r="A1" s="391"/>
      <c r="B1" s="391"/>
      <c r="C1" s="392"/>
      <c r="D1" s="393"/>
      <c r="E1" s="394"/>
      <c r="F1" s="394"/>
      <c r="G1" s="394"/>
      <c r="H1" s="394"/>
      <c r="J1" s="394"/>
      <c r="K1" s="396"/>
      <c r="L1" s="394"/>
      <c r="M1" s="394"/>
      <c r="N1" s="394"/>
      <c r="P1" s="397"/>
      <c r="T1" s="399"/>
    </row>
    <row r="2" spans="1:21" ht="12" customHeight="1" x14ac:dyDescent="0.25">
      <c r="A2" s="391"/>
      <c r="B2" s="391"/>
      <c r="C2" s="392"/>
      <c r="D2" s="393"/>
      <c r="E2" s="394"/>
      <c r="F2" s="394"/>
      <c r="G2" s="394"/>
      <c r="H2" s="394"/>
      <c r="J2" s="394"/>
      <c r="K2" s="400"/>
      <c r="L2" s="394"/>
      <c r="M2" s="394"/>
      <c r="N2" s="394"/>
      <c r="O2" s="401"/>
      <c r="P2" s="402"/>
      <c r="T2" s="403"/>
      <c r="U2" s="402"/>
    </row>
    <row r="3" spans="1:21" ht="12" customHeight="1" x14ac:dyDescent="0.25">
      <c r="A3" s="391"/>
      <c r="B3" s="391"/>
      <c r="C3" s="392"/>
      <c r="D3" s="393"/>
      <c r="E3" s="394"/>
      <c r="F3" s="394"/>
      <c r="G3" s="394"/>
      <c r="H3" s="394"/>
      <c r="I3" s="394"/>
      <c r="J3" s="394"/>
      <c r="K3" s="394"/>
      <c r="L3" s="394"/>
      <c r="M3" s="394"/>
      <c r="N3" s="394"/>
      <c r="O3" s="404" t="s">
        <v>686</v>
      </c>
      <c r="P3" s="405"/>
      <c r="Q3" s="402"/>
      <c r="R3" s="403"/>
      <c r="S3" s="402"/>
    </row>
    <row r="4" spans="1:21" ht="12" customHeight="1" x14ac:dyDescent="0.25">
      <c r="A4" s="391"/>
      <c r="B4" s="391"/>
      <c r="C4" s="392"/>
      <c r="D4" s="393"/>
      <c r="E4" s="394"/>
      <c r="F4" s="394"/>
      <c r="G4" s="394"/>
      <c r="H4" s="394"/>
      <c r="I4" s="394"/>
      <c r="J4" s="394"/>
      <c r="K4" s="394"/>
      <c r="L4" s="394"/>
      <c r="M4" s="394"/>
      <c r="N4" s="394"/>
      <c r="O4" s="406" t="s">
        <v>80</v>
      </c>
      <c r="P4" s="405"/>
      <c r="Q4" s="402"/>
      <c r="R4" s="403"/>
      <c r="S4" s="402"/>
    </row>
    <row r="5" spans="1:21" ht="12" customHeight="1" x14ac:dyDescent="0.25">
      <c r="A5" s="391"/>
      <c r="B5" s="391"/>
      <c r="C5" s="392"/>
      <c r="D5" s="393"/>
      <c r="E5" s="394"/>
      <c r="F5" s="394"/>
      <c r="G5" s="394"/>
      <c r="H5" s="394"/>
      <c r="I5" s="394"/>
      <c r="J5" s="394"/>
      <c r="K5" s="394"/>
      <c r="L5" s="394"/>
      <c r="M5" s="394"/>
      <c r="N5" s="394"/>
      <c r="O5" s="406" t="s">
        <v>81</v>
      </c>
      <c r="P5" s="405"/>
      <c r="Q5" s="402"/>
      <c r="R5" s="403"/>
      <c r="S5" s="402"/>
    </row>
    <row r="6" spans="1:21" ht="12" customHeight="1" x14ac:dyDescent="0.25">
      <c r="A6" s="391"/>
      <c r="B6" s="391"/>
      <c r="C6" s="392"/>
      <c r="D6" s="393"/>
      <c r="E6" s="394"/>
      <c r="F6" s="394"/>
      <c r="G6" s="394"/>
      <c r="H6" s="394"/>
      <c r="I6" s="394"/>
      <c r="J6" s="394"/>
      <c r="K6" s="394"/>
      <c r="L6" s="394"/>
      <c r="M6" s="394"/>
      <c r="N6" s="394"/>
      <c r="O6" s="406" t="s">
        <v>82</v>
      </c>
      <c r="P6" s="405"/>
      <c r="Q6" s="402"/>
      <c r="R6" s="403"/>
      <c r="S6" s="402"/>
    </row>
    <row r="7" spans="1:21" ht="12" customHeight="1" x14ac:dyDescent="0.25">
      <c r="A7" s="391"/>
      <c r="B7" s="391"/>
      <c r="C7" s="392"/>
      <c r="D7" s="393"/>
      <c r="E7" s="394"/>
      <c r="F7" s="394"/>
      <c r="G7" s="394"/>
      <c r="H7" s="394"/>
      <c r="I7" s="394"/>
      <c r="J7" s="394"/>
      <c r="K7" s="394"/>
      <c r="L7" s="394"/>
      <c r="M7" s="394"/>
      <c r="N7" s="394"/>
      <c r="O7" s="407"/>
      <c r="P7" s="408"/>
      <c r="Q7" s="402"/>
      <c r="R7" s="403"/>
      <c r="S7" s="402"/>
    </row>
    <row r="8" spans="1:21" ht="12" customHeight="1" x14ac:dyDescent="0.25">
      <c r="A8" s="391"/>
      <c r="B8" s="391"/>
      <c r="C8" s="392"/>
      <c r="D8" s="393"/>
      <c r="E8" s="394"/>
      <c r="F8" s="394"/>
      <c r="G8" s="394"/>
      <c r="H8" s="394"/>
      <c r="I8" s="394"/>
      <c r="J8" s="394"/>
      <c r="K8" s="394"/>
      <c r="L8" s="394"/>
      <c r="M8" s="394"/>
      <c r="N8" s="394"/>
      <c r="O8" s="407"/>
      <c r="P8" s="408"/>
      <c r="Q8" s="402"/>
      <c r="R8" s="403"/>
      <c r="S8" s="402"/>
    </row>
    <row r="9" spans="1:21" ht="14.25" customHeight="1" x14ac:dyDescent="0.25">
      <c r="A9" s="409" t="s">
        <v>687</v>
      </c>
      <c r="B9" s="409"/>
      <c r="C9" s="409"/>
      <c r="D9" s="409"/>
      <c r="E9" s="409"/>
      <c r="F9" s="409"/>
      <c r="G9" s="409"/>
      <c r="H9" s="409"/>
      <c r="I9" s="409"/>
      <c r="J9" s="409"/>
      <c r="K9" s="409"/>
      <c r="L9" s="409"/>
      <c r="M9" s="409"/>
      <c r="N9" s="409"/>
      <c r="O9" s="409"/>
      <c r="P9" s="410"/>
      <c r="Q9" s="411"/>
      <c r="R9" s="412"/>
      <c r="S9" s="413"/>
      <c r="T9" s="414"/>
      <c r="U9" s="415"/>
    </row>
    <row r="10" spans="1:21" ht="14.25" customHeight="1" x14ac:dyDescent="0.25">
      <c r="A10" s="391"/>
      <c r="B10" s="391"/>
      <c r="C10" s="391"/>
      <c r="D10" s="391"/>
      <c r="E10" s="391"/>
      <c r="F10" s="391"/>
      <c r="G10" s="391"/>
      <c r="H10" s="391"/>
      <c r="I10" s="391"/>
      <c r="J10" s="391"/>
      <c r="K10" s="391"/>
      <c r="L10" s="391"/>
      <c r="M10" s="391"/>
      <c r="N10" s="391"/>
      <c r="O10" s="391"/>
      <c r="P10" s="410"/>
      <c r="Q10" s="411"/>
      <c r="R10" s="412"/>
      <c r="S10" s="413"/>
      <c r="T10" s="414"/>
      <c r="U10" s="416"/>
    </row>
    <row r="11" spans="1:21" ht="11.25" customHeight="1" x14ac:dyDescent="0.25">
      <c r="A11" s="391"/>
      <c r="B11" s="391"/>
      <c r="C11" s="392"/>
      <c r="D11" s="417"/>
      <c r="E11" s="394"/>
      <c r="F11" s="394"/>
      <c r="G11" s="418"/>
      <c r="H11" s="418"/>
      <c r="I11" s="418"/>
      <c r="J11" s="394"/>
      <c r="K11" s="394"/>
      <c r="L11" s="394"/>
      <c r="M11" s="394"/>
      <c r="N11" s="394"/>
      <c r="O11" s="394" t="s">
        <v>2</v>
      </c>
      <c r="P11" s="419"/>
      <c r="R11" s="403"/>
      <c r="S11" s="402"/>
      <c r="T11" s="399"/>
    </row>
    <row r="12" spans="1:21" s="429" customFormat="1" ht="12" customHeight="1" x14ac:dyDescent="0.25">
      <c r="A12" s="420"/>
      <c r="B12" s="420"/>
      <c r="C12" s="421"/>
      <c r="D12" s="422"/>
      <c r="E12" s="420"/>
      <c r="F12" s="423" t="s">
        <v>688</v>
      </c>
      <c r="G12" s="424"/>
      <c r="H12" s="425"/>
      <c r="I12" s="426"/>
      <c r="J12" s="427"/>
      <c r="K12" s="420"/>
      <c r="L12" s="420"/>
      <c r="M12" s="420"/>
      <c r="N12" s="420"/>
      <c r="O12" s="428" t="s">
        <v>689</v>
      </c>
      <c r="P12" s="420" t="s">
        <v>690</v>
      </c>
      <c r="R12" s="430"/>
      <c r="S12" s="431"/>
      <c r="T12" s="432"/>
      <c r="U12" s="433"/>
    </row>
    <row r="13" spans="1:21" s="429" customFormat="1" ht="12.75" customHeight="1" x14ac:dyDescent="0.25">
      <c r="A13" s="434"/>
      <c r="B13" s="435"/>
      <c r="C13" s="436"/>
      <c r="D13" s="437"/>
      <c r="E13" s="435" t="s">
        <v>691</v>
      </c>
      <c r="F13" s="438" t="s">
        <v>692</v>
      </c>
      <c r="G13" s="439"/>
      <c r="H13" s="439" t="s">
        <v>693</v>
      </c>
      <c r="I13" s="440"/>
      <c r="J13" s="441"/>
      <c r="K13" s="442"/>
      <c r="L13" s="442"/>
      <c r="M13" s="442"/>
      <c r="N13" s="442"/>
      <c r="O13" s="438" t="s">
        <v>694</v>
      </c>
      <c r="P13" s="434" t="s">
        <v>695</v>
      </c>
      <c r="R13" s="443"/>
      <c r="S13" s="444"/>
      <c r="T13" s="432"/>
      <c r="U13" s="445"/>
    </row>
    <row r="14" spans="1:21" s="429" customFormat="1" x14ac:dyDescent="0.25">
      <c r="A14" s="434" t="s">
        <v>696</v>
      </c>
      <c r="B14" s="435" t="s">
        <v>86</v>
      </c>
      <c r="C14" s="435" t="s">
        <v>91</v>
      </c>
      <c r="D14" s="437" t="s">
        <v>697</v>
      </c>
      <c r="E14" s="435" t="s">
        <v>698</v>
      </c>
      <c r="F14" s="438" t="s">
        <v>699</v>
      </c>
      <c r="G14" s="434"/>
      <c r="H14" s="428" t="s">
        <v>700</v>
      </c>
      <c r="I14" s="435" t="s">
        <v>700</v>
      </c>
      <c r="J14" s="438"/>
      <c r="K14" s="434"/>
      <c r="L14" s="434"/>
      <c r="M14" s="434"/>
      <c r="N14" s="434"/>
      <c r="O14" s="435" t="s">
        <v>701</v>
      </c>
      <c r="P14" s="434" t="s">
        <v>702</v>
      </c>
      <c r="R14" s="443"/>
      <c r="S14" s="446"/>
      <c r="T14" s="432"/>
      <c r="U14" s="433"/>
    </row>
    <row r="15" spans="1:21" s="429" customFormat="1" x14ac:dyDescent="0.25">
      <c r="A15" s="434"/>
      <c r="B15" s="435"/>
      <c r="C15" s="436"/>
      <c r="D15" s="437"/>
      <c r="E15" s="435" t="s">
        <v>703</v>
      </c>
      <c r="F15" s="438">
        <v>2026</v>
      </c>
      <c r="G15" s="434" t="s">
        <v>700</v>
      </c>
      <c r="H15" s="435" t="s">
        <v>704</v>
      </c>
      <c r="I15" s="435" t="s">
        <v>705</v>
      </c>
      <c r="J15" s="438">
        <v>2027</v>
      </c>
      <c r="K15" s="434">
        <v>2028</v>
      </c>
      <c r="L15" s="434">
        <v>2029</v>
      </c>
      <c r="M15" s="434">
        <v>2030</v>
      </c>
      <c r="N15" s="434">
        <v>2031</v>
      </c>
      <c r="O15" s="438" t="s">
        <v>706</v>
      </c>
      <c r="P15" s="434" t="s">
        <v>707</v>
      </c>
      <c r="R15" s="443"/>
      <c r="S15" s="446"/>
      <c r="T15" s="432"/>
      <c r="U15" s="433"/>
    </row>
    <row r="16" spans="1:21" s="429" customFormat="1" x14ac:dyDescent="0.25">
      <c r="A16" s="434"/>
      <c r="B16" s="435"/>
      <c r="C16" s="436"/>
      <c r="D16" s="437"/>
      <c r="E16" s="435"/>
      <c r="F16" s="438" t="s">
        <v>708</v>
      </c>
      <c r="G16" s="434" t="s">
        <v>709</v>
      </c>
      <c r="H16" s="435" t="s">
        <v>710</v>
      </c>
      <c r="I16" s="435" t="s">
        <v>711</v>
      </c>
      <c r="J16" s="438"/>
      <c r="K16" s="434"/>
      <c r="L16" s="434"/>
      <c r="M16" s="434"/>
      <c r="N16" s="434"/>
      <c r="O16" s="438" t="s">
        <v>712</v>
      </c>
      <c r="P16" s="434" t="s">
        <v>713</v>
      </c>
      <c r="R16" s="443"/>
      <c r="S16" s="446"/>
      <c r="T16" s="432"/>
      <c r="U16" s="445"/>
    </row>
    <row r="17" spans="1:21" s="429" customFormat="1" ht="9.75" customHeight="1" x14ac:dyDescent="0.25">
      <c r="A17" s="434"/>
      <c r="B17" s="435"/>
      <c r="C17" s="436"/>
      <c r="D17" s="437"/>
      <c r="E17" s="435"/>
      <c r="F17" s="438"/>
      <c r="G17" s="434"/>
      <c r="H17" s="435" t="s">
        <v>714</v>
      </c>
      <c r="I17" s="434" t="s">
        <v>715</v>
      </c>
      <c r="J17" s="438"/>
      <c r="K17" s="434"/>
      <c r="L17" s="434"/>
      <c r="M17" s="434"/>
      <c r="N17" s="434"/>
      <c r="O17" s="438" t="s">
        <v>716</v>
      </c>
      <c r="P17" s="434" t="s">
        <v>717</v>
      </c>
      <c r="R17" s="443"/>
      <c r="S17" s="446"/>
      <c r="T17" s="432"/>
      <c r="U17" s="445"/>
    </row>
    <row r="18" spans="1:21" s="429" customFormat="1" ht="9.75" customHeight="1" x14ac:dyDescent="0.25">
      <c r="A18" s="447"/>
      <c r="B18" s="448"/>
      <c r="C18" s="449"/>
      <c r="D18" s="450"/>
      <c r="E18" s="448"/>
      <c r="F18" s="438"/>
      <c r="G18" s="447"/>
      <c r="H18" s="448"/>
      <c r="I18" s="448"/>
      <c r="J18" s="438"/>
      <c r="K18" s="447"/>
      <c r="L18" s="447"/>
      <c r="M18" s="447"/>
      <c r="N18" s="447"/>
      <c r="O18" s="438"/>
      <c r="P18" s="434" t="s">
        <v>718</v>
      </c>
      <c r="R18" s="443"/>
      <c r="S18" s="446"/>
      <c r="T18" s="432"/>
      <c r="U18" s="445"/>
    </row>
    <row r="19" spans="1:21" ht="10.5" customHeight="1" x14ac:dyDescent="0.25">
      <c r="A19" s="451">
        <v>1</v>
      </c>
      <c r="B19" s="451">
        <v>2</v>
      </c>
      <c r="C19" s="451"/>
      <c r="D19" s="452">
        <v>3</v>
      </c>
      <c r="E19" s="451">
        <v>4</v>
      </c>
      <c r="F19" s="453">
        <v>5</v>
      </c>
      <c r="G19" s="451">
        <v>6</v>
      </c>
      <c r="H19" s="454">
        <v>7</v>
      </c>
      <c r="I19" s="455">
        <v>8</v>
      </c>
      <c r="J19" s="456">
        <v>9</v>
      </c>
      <c r="K19" s="451">
        <v>10</v>
      </c>
      <c r="L19" s="451">
        <v>11</v>
      </c>
      <c r="M19" s="451">
        <v>12</v>
      </c>
      <c r="N19" s="451">
        <v>14</v>
      </c>
      <c r="O19" s="451">
        <v>9</v>
      </c>
      <c r="P19" s="451">
        <v>10</v>
      </c>
      <c r="R19" s="403"/>
      <c r="S19" s="402"/>
      <c r="T19" s="432"/>
      <c r="U19" s="445"/>
    </row>
    <row r="20" spans="1:21" s="457" customFormat="1" ht="40.5" customHeight="1" x14ac:dyDescent="0.25">
      <c r="A20" s="1283"/>
      <c r="B20" s="1283"/>
      <c r="C20" s="525"/>
      <c r="D20" s="1283" t="s">
        <v>719</v>
      </c>
      <c r="E20" s="463">
        <f t="shared" ref="E20:O20" si="0">SUM(E21,E53,E82,E104,E135,E153,E149,E190,E202,E98,E120,E131,E181,E75)</f>
        <v>787508316.98000002</v>
      </c>
      <c r="F20" s="463">
        <f t="shared" si="0"/>
        <v>415936560.62999994</v>
      </c>
      <c r="G20" s="463">
        <f t="shared" si="0"/>
        <v>152207216.36999997</v>
      </c>
      <c r="H20" s="463">
        <f t="shared" si="0"/>
        <v>124250565.27</v>
      </c>
      <c r="I20" s="463">
        <f t="shared" si="0"/>
        <v>139478778.99000001</v>
      </c>
      <c r="J20" s="463">
        <f t="shared" si="0"/>
        <v>147342578.59</v>
      </c>
      <c r="K20" s="463">
        <f t="shared" si="0"/>
        <v>66326845</v>
      </c>
      <c r="L20" s="463">
        <f t="shared" si="0"/>
        <v>14846800</v>
      </c>
      <c r="M20" s="463">
        <f t="shared" si="0"/>
        <v>2325000</v>
      </c>
      <c r="N20" s="463">
        <f t="shared" si="0"/>
        <v>0</v>
      </c>
      <c r="O20" s="463">
        <f t="shared" si="0"/>
        <v>0</v>
      </c>
      <c r="P20" s="465" t="s">
        <v>720</v>
      </c>
      <c r="R20" s="458"/>
      <c r="S20" s="459"/>
      <c r="T20" s="460"/>
      <c r="U20" s="445"/>
    </row>
    <row r="21" spans="1:21" s="457" customFormat="1" ht="40.5" customHeight="1" x14ac:dyDescent="0.25">
      <c r="A21" s="461">
        <v>600</v>
      </c>
      <c r="B21" s="1284"/>
      <c r="C21" s="1285"/>
      <c r="D21" s="462" t="s">
        <v>721</v>
      </c>
      <c r="E21" s="463">
        <f>SUM(E22,E27,E37,E51)</f>
        <v>365216451.48000002</v>
      </c>
      <c r="F21" s="463">
        <f t="shared" ref="F21:O21" si="1">SUM(F22,F27,F37,F51)</f>
        <v>201544323.03</v>
      </c>
      <c r="G21" s="463">
        <f t="shared" si="1"/>
        <v>53477632.280000001</v>
      </c>
      <c r="H21" s="463">
        <f t="shared" si="1"/>
        <v>55004231.890000001</v>
      </c>
      <c r="I21" s="463">
        <f t="shared" si="1"/>
        <v>93062458.859999999</v>
      </c>
      <c r="J21" s="463">
        <f t="shared" si="1"/>
        <v>63007018.059999995</v>
      </c>
      <c r="K21" s="463">
        <f t="shared" si="1"/>
        <v>49000000</v>
      </c>
      <c r="L21" s="463">
        <f t="shared" si="1"/>
        <v>0</v>
      </c>
      <c r="M21" s="463">
        <f t="shared" si="1"/>
        <v>0</v>
      </c>
      <c r="N21" s="463">
        <f t="shared" si="1"/>
        <v>0</v>
      </c>
      <c r="O21" s="463">
        <f t="shared" si="1"/>
        <v>0</v>
      </c>
      <c r="P21" s="465"/>
      <c r="R21" s="458"/>
      <c r="S21" s="459"/>
      <c r="T21" s="460"/>
      <c r="U21" s="445"/>
    </row>
    <row r="22" spans="1:21" s="457" customFormat="1" ht="40.5" customHeight="1" x14ac:dyDescent="0.25">
      <c r="A22" s="461"/>
      <c r="B22" s="461">
        <v>60004</v>
      </c>
      <c r="C22" s="464"/>
      <c r="D22" s="462" t="s">
        <v>109</v>
      </c>
      <c r="E22" s="463">
        <f>SUM(E23:E26)</f>
        <v>106112653.83999999</v>
      </c>
      <c r="F22" s="463">
        <f t="shared" ref="F22:O22" si="2">SUM(F23:F26)</f>
        <v>84407496.379999995</v>
      </c>
      <c r="G22" s="463">
        <f>SUM(G23:G26)</f>
        <v>17500531.199999999</v>
      </c>
      <c r="H22" s="463">
        <f t="shared" si="2"/>
        <v>425250</v>
      </c>
      <c r="I22" s="463">
        <f t="shared" si="2"/>
        <v>66481715.18</v>
      </c>
      <c r="J22" s="463">
        <f t="shared" si="2"/>
        <v>8305089.4400000004</v>
      </c>
      <c r="K22" s="463">
        <f t="shared" si="2"/>
        <v>0</v>
      </c>
      <c r="L22" s="463">
        <f t="shared" si="2"/>
        <v>0</v>
      </c>
      <c r="M22" s="463">
        <f t="shared" si="2"/>
        <v>0</v>
      </c>
      <c r="N22" s="463">
        <f t="shared" si="2"/>
        <v>0</v>
      </c>
      <c r="O22" s="463">
        <f t="shared" si="2"/>
        <v>0</v>
      </c>
      <c r="P22" s="465"/>
      <c r="R22" s="458"/>
      <c r="S22" s="459"/>
      <c r="T22" s="460"/>
      <c r="U22" s="445"/>
    </row>
    <row r="23" spans="1:21" s="457" customFormat="1" ht="40.5" customHeight="1" x14ac:dyDescent="0.25">
      <c r="A23" s="461"/>
      <c r="B23" s="461"/>
      <c r="C23" s="464" t="s">
        <v>722</v>
      </c>
      <c r="D23" s="466" t="s">
        <v>723</v>
      </c>
      <c r="E23" s="467">
        <v>59030602.799999997</v>
      </c>
      <c r="F23" s="467">
        <f>SUM(G23:I23)</f>
        <v>52644000</v>
      </c>
      <c r="G23" s="467">
        <f>11044000-37500</f>
        <v>11006500</v>
      </c>
      <c r="H23" s="467"/>
      <c r="I23" s="467">
        <v>41637500</v>
      </c>
      <c r="J23" s="467"/>
      <c r="K23" s="467"/>
      <c r="L23" s="467"/>
      <c r="M23" s="467"/>
      <c r="N23" s="467"/>
      <c r="O23" s="467"/>
      <c r="P23" s="1286" t="s">
        <v>724</v>
      </c>
      <c r="Q23" s="468" t="s">
        <v>725</v>
      </c>
      <c r="R23" s="458"/>
      <c r="S23" s="459"/>
      <c r="T23" s="460"/>
      <c r="U23" s="445"/>
    </row>
    <row r="24" spans="1:21" s="457" customFormat="1" ht="40.5" customHeight="1" x14ac:dyDescent="0.25">
      <c r="A24" s="461"/>
      <c r="B24" s="461"/>
      <c r="C24" s="464" t="s">
        <v>726</v>
      </c>
      <c r="D24" s="466" t="s">
        <v>727</v>
      </c>
      <c r="E24" s="467">
        <v>20869215.66</v>
      </c>
      <c r="F24" s="467">
        <f>SUM(G24:I24)</f>
        <v>13885750.440000001</v>
      </c>
      <c r="G24" s="467">
        <f>4289906.64</f>
        <v>4289906.6399999997</v>
      </c>
      <c r="H24" s="467"/>
      <c r="I24" s="467">
        <v>9595843.8000000007</v>
      </c>
      <c r="J24" s="467"/>
      <c r="K24" s="467"/>
      <c r="L24" s="467"/>
      <c r="M24" s="467"/>
      <c r="N24" s="467"/>
      <c r="O24" s="467"/>
      <c r="P24" s="1286" t="s">
        <v>724</v>
      </c>
      <c r="Q24" s="468" t="s">
        <v>725</v>
      </c>
      <c r="R24" s="458"/>
      <c r="S24" s="459"/>
      <c r="T24" s="460"/>
      <c r="U24" s="445"/>
    </row>
    <row r="25" spans="1:21" s="457" customFormat="1" ht="40.5" customHeight="1" x14ac:dyDescent="0.25">
      <c r="A25" s="461"/>
      <c r="B25" s="469"/>
      <c r="C25" s="470" t="s">
        <v>728</v>
      </c>
      <c r="D25" s="471" t="s">
        <v>729</v>
      </c>
      <c r="E25" s="472">
        <v>5700000</v>
      </c>
      <c r="F25" s="467">
        <f t="shared" ref="F25:F26" si="3">SUM(G25:I25)</f>
        <v>2835000</v>
      </c>
      <c r="G25" s="472"/>
      <c r="H25" s="472">
        <v>425250</v>
      </c>
      <c r="I25" s="472">
        <v>2409750</v>
      </c>
      <c r="J25" s="472">
        <v>2835000</v>
      </c>
      <c r="K25" s="472"/>
      <c r="L25" s="472"/>
      <c r="M25" s="472"/>
      <c r="N25" s="472"/>
      <c r="O25" s="472"/>
      <c r="P25" s="1287" t="s">
        <v>730</v>
      </c>
      <c r="Q25" s="468" t="s">
        <v>731</v>
      </c>
      <c r="R25" s="473"/>
      <c r="S25" s="468" t="s">
        <v>732</v>
      </c>
      <c r="T25" s="460"/>
      <c r="U25" s="445"/>
    </row>
    <row r="26" spans="1:21" s="457" customFormat="1" ht="40.5" customHeight="1" x14ac:dyDescent="0.25">
      <c r="A26" s="461"/>
      <c r="B26" s="461"/>
      <c r="C26" s="464" t="s">
        <v>733</v>
      </c>
      <c r="D26" s="466" t="s">
        <v>734</v>
      </c>
      <c r="E26" s="467">
        <v>20512835.379999999</v>
      </c>
      <c r="F26" s="467">
        <f t="shared" si="3"/>
        <v>15042745.940000001</v>
      </c>
      <c r="G26" s="467">
        <v>2204124.56</v>
      </c>
      <c r="H26" s="467"/>
      <c r="I26" s="467">
        <v>12838621.380000001</v>
      </c>
      <c r="J26" s="467">
        <v>5470089.4400000004</v>
      </c>
      <c r="K26" s="467"/>
      <c r="L26" s="467"/>
      <c r="M26" s="467"/>
      <c r="N26" s="467"/>
      <c r="O26" s="467"/>
      <c r="P26" s="1287" t="s">
        <v>730</v>
      </c>
      <c r="Q26" s="468" t="s">
        <v>731</v>
      </c>
      <c r="R26" s="473"/>
      <c r="S26" s="468" t="s">
        <v>735</v>
      </c>
      <c r="T26" s="460"/>
      <c r="U26" s="445"/>
    </row>
    <row r="27" spans="1:21" s="457" customFormat="1" ht="40.5" customHeight="1" x14ac:dyDescent="0.25">
      <c r="A27" s="461"/>
      <c r="B27" s="461">
        <v>60015</v>
      </c>
      <c r="C27" s="464"/>
      <c r="D27" s="462" t="s">
        <v>421</v>
      </c>
      <c r="E27" s="463">
        <f>SUM(E28:E36)</f>
        <v>189741523.24000001</v>
      </c>
      <c r="F27" s="463">
        <f t="shared" ref="F27:O27" si="4">SUM(F28:F36)</f>
        <v>81567000.299999997</v>
      </c>
      <c r="G27" s="463">
        <f t="shared" si="4"/>
        <v>22209068.240000002</v>
      </c>
      <c r="H27" s="463">
        <f t="shared" si="4"/>
        <v>45967578.409999996</v>
      </c>
      <c r="I27" s="463">
        <f t="shared" si="4"/>
        <v>13390353.65</v>
      </c>
      <c r="J27" s="463">
        <f t="shared" si="4"/>
        <v>44000000</v>
      </c>
      <c r="K27" s="463">
        <f t="shared" si="4"/>
        <v>49000000</v>
      </c>
      <c r="L27" s="463">
        <f t="shared" si="4"/>
        <v>0</v>
      </c>
      <c r="M27" s="463">
        <f t="shared" si="4"/>
        <v>0</v>
      </c>
      <c r="N27" s="463">
        <f t="shared" si="4"/>
        <v>0</v>
      </c>
      <c r="O27" s="463">
        <f t="shared" si="4"/>
        <v>0</v>
      </c>
      <c r="P27" s="465"/>
      <c r="Q27" s="473"/>
      <c r="R27" s="473"/>
      <c r="S27" s="468"/>
      <c r="T27" s="460"/>
      <c r="U27" s="445"/>
    </row>
    <row r="28" spans="1:21" s="457" customFormat="1" ht="40.5" customHeight="1" x14ac:dyDescent="0.25">
      <c r="A28" s="461"/>
      <c r="B28" s="461"/>
      <c r="C28" s="464">
        <v>6050</v>
      </c>
      <c r="D28" s="466" t="s">
        <v>736</v>
      </c>
      <c r="E28" s="467">
        <v>107733653.84999999</v>
      </c>
      <c r="F28" s="467">
        <f>SUM(G28:I28)</f>
        <v>15000000</v>
      </c>
      <c r="G28" s="467">
        <f>15000000-12000000</f>
        <v>3000000</v>
      </c>
      <c r="H28" s="467">
        <v>12000000</v>
      </c>
      <c r="I28" s="467"/>
      <c r="J28" s="467">
        <v>40000000</v>
      </c>
      <c r="K28" s="467">
        <v>49000000</v>
      </c>
      <c r="L28" s="467"/>
      <c r="M28" s="467"/>
      <c r="N28" s="467"/>
      <c r="O28" s="467"/>
      <c r="P28" s="518" t="s">
        <v>730</v>
      </c>
      <c r="Q28" s="468" t="s">
        <v>737</v>
      </c>
      <c r="R28" s="473"/>
      <c r="S28" s="468"/>
      <c r="T28" s="460"/>
      <c r="U28" s="445"/>
    </row>
    <row r="29" spans="1:21" s="457" customFormat="1" ht="40.5" customHeight="1" x14ac:dyDescent="0.25">
      <c r="A29" s="461"/>
      <c r="B29" s="461"/>
      <c r="C29" s="464" t="s">
        <v>738</v>
      </c>
      <c r="D29" s="466" t="s">
        <v>739</v>
      </c>
      <c r="E29" s="467">
        <v>46440869.090000004</v>
      </c>
      <c r="F29" s="467">
        <f t="shared" ref="F29:F32" si="5">SUM(G29:I29)</f>
        <v>35000000</v>
      </c>
      <c r="G29" s="467">
        <v>5000000</v>
      </c>
      <c r="H29" s="467">
        <v>30000000</v>
      </c>
      <c r="I29" s="467"/>
      <c r="J29" s="467"/>
      <c r="K29" s="467"/>
      <c r="L29" s="467"/>
      <c r="M29" s="467"/>
      <c r="N29" s="467"/>
      <c r="O29" s="467"/>
      <c r="P29" s="518" t="s">
        <v>730</v>
      </c>
      <c r="Q29" s="468" t="s">
        <v>740</v>
      </c>
      <c r="R29" s="473"/>
      <c r="S29" s="468" t="s">
        <v>741</v>
      </c>
      <c r="T29" s="460"/>
      <c r="U29" s="445"/>
    </row>
    <row r="30" spans="1:21" s="457" customFormat="1" ht="40.5" customHeight="1" x14ac:dyDescent="0.25">
      <c r="A30" s="461"/>
      <c r="B30" s="461"/>
      <c r="C30" s="464">
        <v>6050</v>
      </c>
      <c r="D30" s="466" t="s">
        <v>1332</v>
      </c>
      <c r="E30" s="467">
        <v>7935156.8300000001</v>
      </c>
      <c r="F30" s="467">
        <f t="shared" si="5"/>
        <v>7935156.8300000001</v>
      </c>
      <c r="G30" s="467">
        <v>3967578.42</v>
      </c>
      <c r="H30" s="467">
        <v>3967578.41</v>
      </c>
      <c r="I30" s="467"/>
      <c r="J30" s="467"/>
      <c r="K30" s="467"/>
      <c r="L30" s="467"/>
      <c r="M30" s="467"/>
      <c r="N30" s="467"/>
      <c r="O30" s="467"/>
      <c r="P30" s="518" t="s">
        <v>730</v>
      </c>
      <c r="Q30" s="468" t="s">
        <v>740</v>
      </c>
      <c r="R30" s="473"/>
      <c r="S30" s="468" t="s">
        <v>742</v>
      </c>
      <c r="T30" s="460"/>
      <c r="U30" s="445"/>
    </row>
    <row r="31" spans="1:21" s="457" customFormat="1" ht="40.5" customHeight="1" x14ac:dyDescent="0.25">
      <c r="A31" s="461"/>
      <c r="B31" s="461"/>
      <c r="C31" s="464" t="s">
        <v>743</v>
      </c>
      <c r="D31" s="466" t="s">
        <v>744</v>
      </c>
      <c r="E31" s="467">
        <v>14531843.470000001</v>
      </c>
      <c r="F31" s="467">
        <f t="shared" si="5"/>
        <v>14531843.470000001</v>
      </c>
      <c r="G31" s="467">
        <v>1566489.82</v>
      </c>
      <c r="H31" s="467"/>
      <c r="I31" s="467">
        <v>12965353.65</v>
      </c>
      <c r="J31" s="467"/>
      <c r="K31" s="467"/>
      <c r="L31" s="467"/>
      <c r="M31" s="467"/>
      <c r="N31" s="467"/>
      <c r="O31" s="467"/>
      <c r="P31" s="518" t="s">
        <v>730</v>
      </c>
      <c r="Q31" s="468" t="s">
        <v>745</v>
      </c>
      <c r="R31" s="473"/>
      <c r="S31" s="468" t="s">
        <v>735</v>
      </c>
      <c r="T31" s="460"/>
      <c r="U31" s="445"/>
    </row>
    <row r="32" spans="1:21" s="457" customFormat="1" ht="40.5" customHeight="1" x14ac:dyDescent="0.25">
      <c r="A32" s="461"/>
      <c r="B32" s="461"/>
      <c r="C32" s="469" t="s">
        <v>743</v>
      </c>
      <c r="D32" s="466" t="s">
        <v>746</v>
      </c>
      <c r="E32" s="467">
        <v>4000000</v>
      </c>
      <c r="F32" s="467">
        <f t="shared" si="5"/>
        <v>500000</v>
      </c>
      <c r="G32" s="467">
        <v>75000</v>
      </c>
      <c r="H32" s="467"/>
      <c r="I32" s="467">
        <v>425000</v>
      </c>
      <c r="J32" s="467">
        <v>3500000</v>
      </c>
      <c r="K32" s="467"/>
      <c r="L32" s="467"/>
      <c r="M32" s="467"/>
      <c r="N32" s="467"/>
      <c r="O32" s="467"/>
      <c r="P32" s="518" t="s">
        <v>730</v>
      </c>
      <c r="Q32" s="468"/>
      <c r="R32" s="473"/>
      <c r="S32" s="468" t="s">
        <v>735</v>
      </c>
      <c r="T32" s="460"/>
      <c r="U32" s="445"/>
    </row>
    <row r="33" spans="1:21" s="457" customFormat="1" ht="40.5" customHeight="1" x14ac:dyDescent="0.25">
      <c r="A33" s="461"/>
      <c r="B33" s="474"/>
      <c r="C33" s="452">
        <v>6050</v>
      </c>
      <c r="D33" s="475" t="s">
        <v>747</v>
      </c>
      <c r="E33" s="476">
        <f>7000000-3000000</f>
        <v>4000000</v>
      </c>
      <c r="F33" s="476">
        <f>SUM(G33:I33)</f>
        <v>4000000</v>
      </c>
      <c r="G33" s="476">
        <v>4000000</v>
      </c>
      <c r="H33" s="476"/>
      <c r="I33" s="476"/>
      <c r="J33" s="476"/>
      <c r="K33" s="476"/>
      <c r="L33" s="476"/>
      <c r="M33" s="476"/>
      <c r="N33" s="477"/>
      <c r="O33" s="477"/>
      <c r="P33" s="486" t="s">
        <v>730</v>
      </c>
      <c r="Q33" s="398"/>
      <c r="R33" s="473"/>
      <c r="S33" s="468"/>
      <c r="T33" s="460"/>
      <c r="U33" s="445"/>
    </row>
    <row r="34" spans="1:21" s="457" customFormat="1" ht="40.5" customHeight="1" x14ac:dyDescent="0.25">
      <c r="A34" s="461"/>
      <c r="B34" s="474"/>
      <c r="C34" s="452">
        <v>6050</v>
      </c>
      <c r="D34" s="475" t="s">
        <v>748</v>
      </c>
      <c r="E34" s="477">
        <v>500000</v>
      </c>
      <c r="F34" s="477">
        <f t="shared" ref="F34:F36" si="6">SUM(G34:I34)</f>
        <v>500000</v>
      </c>
      <c r="G34" s="477">
        <v>500000</v>
      </c>
      <c r="H34" s="477"/>
      <c r="I34" s="477"/>
      <c r="J34" s="477"/>
      <c r="K34" s="477"/>
      <c r="L34" s="477"/>
      <c r="M34" s="477"/>
      <c r="N34" s="477"/>
      <c r="O34" s="477"/>
      <c r="P34" s="486" t="s">
        <v>730</v>
      </c>
      <c r="Q34" s="398"/>
      <c r="R34" s="473"/>
      <c r="S34" s="468"/>
      <c r="T34" s="460"/>
      <c r="U34" s="445"/>
    </row>
    <row r="35" spans="1:21" s="457" customFormat="1" ht="40.5" customHeight="1" x14ac:dyDescent="0.25">
      <c r="A35" s="461"/>
      <c r="B35" s="474"/>
      <c r="C35" s="452">
        <v>6050</v>
      </c>
      <c r="D35" s="475" t="s">
        <v>749</v>
      </c>
      <c r="E35" s="477">
        <v>3600000</v>
      </c>
      <c r="F35" s="477">
        <f t="shared" si="6"/>
        <v>3600000</v>
      </c>
      <c r="G35" s="477">
        <v>3600000</v>
      </c>
      <c r="H35" s="477"/>
      <c r="I35" s="477"/>
      <c r="J35" s="477"/>
      <c r="K35" s="477"/>
      <c r="L35" s="477"/>
      <c r="M35" s="477"/>
      <c r="N35" s="477"/>
      <c r="O35" s="477"/>
      <c r="P35" s="486" t="s">
        <v>730</v>
      </c>
      <c r="Q35" s="398"/>
      <c r="R35" s="473"/>
      <c r="S35" s="468"/>
      <c r="T35" s="460"/>
      <c r="U35" s="445"/>
    </row>
    <row r="36" spans="1:21" s="457" customFormat="1" ht="40.5" customHeight="1" x14ac:dyDescent="0.25">
      <c r="A36" s="461"/>
      <c r="B36" s="474"/>
      <c r="C36" s="452">
        <v>6050</v>
      </c>
      <c r="D36" s="475" t="s">
        <v>750</v>
      </c>
      <c r="E36" s="477">
        <v>1000000</v>
      </c>
      <c r="F36" s="477">
        <f t="shared" si="6"/>
        <v>500000</v>
      </c>
      <c r="G36" s="477">
        <v>500000</v>
      </c>
      <c r="H36" s="477"/>
      <c r="I36" s="477"/>
      <c r="J36" s="477">
        <v>500000</v>
      </c>
      <c r="K36" s="477"/>
      <c r="L36" s="477"/>
      <c r="M36" s="477"/>
      <c r="N36" s="477"/>
      <c r="O36" s="477"/>
      <c r="P36" s="486" t="s">
        <v>730</v>
      </c>
      <c r="Q36" s="445" t="s">
        <v>751</v>
      </c>
      <c r="R36" s="473"/>
      <c r="S36" s="468"/>
      <c r="T36" s="460"/>
      <c r="U36" s="445"/>
    </row>
    <row r="37" spans="1:21" s="457" customFormat="1" ht="40.5" customHeight="1" x14ac:dyDescent="0.25">
      <c r="A37" s="461"/>
      <c r="B37" s="474">
        <v>60016</v>
      </c>
      <c r="C37" s="474"/>
      <c r="D37" s="478" t="s">
        <v>145</v>
      </c>
      <c r="E37" s="479">
        <f>SUM(E38:E50)</f>
        <v>68362274.400000006</v>
      </c>
      <c r="F37" s="479">
        <f t="shared" ref="F37:O37" si="7">SUM(F38:F50)</f>
        <v>34569826.350000001</v>
      </c>
      <c r="G37" s="479">
        <f t="shared" si="7"/>
        <v>12768032.84</v>
      </c>
      <c r="H37" s="479">
        <f t="shared" si="7"/>
        <v>8611403.4800000004</v>
      </c>
      <c r="I37" s="479">
        <f t="shared" si="7"/>
        <v>13190390.029999999</v>
      </c>
      <c r="J37" s="479">
        <f t="shared" si="7"/>
        <v>10701928.619999999</v>
      </c>
      <c r="K37" s="479">
        <f t="shared" si="7"/>
        <v>0</v>
      </c>
      <c r="L37" s="479">
        <f t="shared" si="7"/>
        <v>0</v>
      </c>
      <c r="M37" s="479">
        <f t="shared" si="7"/>
        <v>0</v>
      </c>
      <c r="N37" s="479">
        <f t="shared" si="7"/>
        <v>0</v>
      </c>
      <c r="O37" s="479">
        <f t="shared" si="7"/>
        <v>0</v>
      </c>
      <c r="P37" s="518"/>
      <c r="Q37" s="473"/>
      <c r="R37" s="473"/>
      <c r="S37" s="468"/>
      <c r="T37" s="398"/>
      <c r="U37" s="445"/>
    </row>
    <row r="38" spans="1:21" s="457" customFormat="1" ht="40.5" customHeight="1" x14ac:dyDescent="0.25">
      <c r="A38" s="461"/>
      <c r="B38" s="480"/>
      <c r="C38" s="481">
        <v>6050</v>
      </c>
      <c r="D38" s="482" t="s">
        <v>752</v>
      </c>
      <c r="E38" s="483">
        <v>14244599.689999999</v>
      </c>
      <c r="F38" s="484">
        <f t="shared" ref="F38:F47" si="8">SUM(G38:I38)</f>
        <v>4230979.26</v>
      </c>
      <c r="G38" s="483">
        <v>871652.84</v>
      </c>
      <c r="H38" s="483">
        <v>3359326.42</v>
      </c>
      <c r="I38" s="483"/>
      <c r="J38" s="483"/>
      <c r="K38" s="483"/>
      <c r="L38" s="483"/>
      <c r="M38" s="483"/>
      <c r="N38" s="483"/>
      <c r="O38" s="485"/>
      <c r="P38" s="518" t="s">
        <v>730</v>
      </c>
      <c r="Q38" s="468" t="s">
        <v>740</v>
      </c>
      <c r="R38" s="398"/>
      <c r="S38" s="468" t="s">
        <v>742</v>
      </c>
      <c r="T38" s="398"/>
      <c r="U38" s="445"/>
    </row>
    <row r="39" spans="1:21" s="457" customFormat="1" ht="40.5" customHeight="1" x14ac:dyDescent="0.25">
      <c r="A39" s="461"/>
      <c r="B39" s="480"/>
      <c r="C39" s="486" t="s">
        <v>753</v>
      </c>
      <c r="D39" s="466" t="s">
        <v>754</v>
      </c>
      <c r="E39" s="483">
        <v>11701928.619999999</v>
      </c>
      <c r="F39" s="484">
        <f t="shared" si="8"/>
        <v>1000000</v>
      </c>
      <c r="G39" s="483">
        <v>571380</v>
      </c>
      <c r="H39" s="483"/>
      <c r="I39" s="483">
        <v>428620</v>
      </c>
      <c r="J39" s="483">
        <v>10701928.619999999</v>
      </c>
      <c r="K39" s="483"/>
      <c r="L39" s="483"/>
      <c r="M39" s="483"/>
      <c r="N39" s="483"/>
      <c r="O39" s="485"/>
      <c r="P39" s="518" t="s">
        <v>730</v>
      </c>
      <c r="Q39" s="468" t="s">
        <v>731</v>
      </c>
      <c r="R39" s="398"/>
      <c r="S39" s="445" t="s">
        <v>755</v>
      </c>
      <c r="T39" s="398"/>
      <c r="U39" s="445"/>
    </row>
    <row r="40" spans="1:21" s="457" customFormat="1" ht="40.5" customHeight="1" x14ac:dyDescent="0.25">
      <c r="A40" s="461"/>
      <c r="B40" s="480"/>
      <c r="C40" s="481">
        <v>6050</v>
      </c>
      <c r="D40" s="466" t="s">
        <v>756</v>
      </c>
      <c r="E40" s="483">
        <v>2692600</v>
      </c>
      <c r="F40" s="484">
        <f t="shared" si="8"/>
        <v>110000</v>
      </c>
      <c r="G40" s="483">
        <v>110000</v>
      </c>
      <c r="H40" s="483"/>
      <c r="I40" s="483"/>
      <c r="J40" s="483"/>
      <c r="K40" s="483"/>
      <c r="L40" s="483"/>
      <c r="M40" s="483"/>
      <c r="N40" s="483"/>
      <c r="O40" s="485"/>
      <c r="P40" s="518" t="s">
        <v>730</v>
      </c>
      <c r="Q40" s="468" t="s">
        <v>757</v>
      </c>
      <c r="R40" s="398"/>
      <c r="S40" s="398"/>
      <c r="T40" s="398"/>
      <c r="U40" s="445"/>
    </row>
    <row r="41" spans="1:21" s="457" customFormat="1" ht="40.5" customHeight="1" x14ac:dyDescent="0.25">
      <c r="A41" s="461"/>
      <c r="B41" s="480"/>
      <c r="C41" s="486" t="s">
        <v>728</v>
      </c>
      <c r="D41" s="466" t="s">
        <v>758</v>
      </c>
      <c r="E41" s="483">
        <v>19149146.09</v>
      </c>
      <c r="F41" s="484">
        <f t="shared" si="8"/>
        <v>15013847.09</v>
      </c>
      <c r="G41" s="483"/>
      <c r="H41" s="483">
        <v>2252077.06</v>
      </c>
      <c r="I41" s="483">
        <v>12761770.029999999</v>
      </c>
      <c r="J41" s="483"/>
      <c r="K41" s="483"/>
      <c r="L41" s="483"/>
      <c r="M41" s="483"/>
      <c r="N41" s="483"/>
      <c r="O41" s="485"/>
      <c r="P41" s="518" t="s">
        <v>730</v>
      </c>
      <c r="Q41" s="468" t="s">
        <v>745</v>
      </c>
      <c r="R41" s="398"/>
      <c r="S41" s="445" t="s">
        <v>732</v>
      </c>
      <c r="T41" s="398"/>
      <c r="U41" s="445"/>
    </row>
    <row r="42" spans="1:21" s="457" customFormat="1" ht="40.5" customHeight="1" x14ac:dyDescent="0.25">
      <c r="A42" s="461"/>
      <c r="B42" s="480"/>
      <c r="C42" s="481">
        <v>6050</v>
      </c>
      <c r="D42" s="466" t="s">
        <v>759</v>
      </c>
      <c r="E42" s="483">
        <v>6259000</v>
      </c>
      <c r="F42" s="484">
        <f t="shared" si="8"/>
        <v>600000</v>
      </c>
      <c r="G42" s="483">
        <v>600000</v>
      </c>
      <c r="H42" s="483"/>
      <c r="I42" s="483"/>
      <c r="J42" s="483"/>
      <c r="K42" s="483"/>
      <c r="L42" s="483"/>
      <c r="M42" s="483"/>
      <c r="N42" s="483"/>
      <c r="O42" s="485"/>
      <c r="P42" s="518" t="s">
        <v>730</v>
      </c>
      <c r="Q42" s="468" t="s">
        <v>740</v>
      </c>
      <c r="R42" s="398"/>
      <c r="S42" s="398"/>
      <c r="T42" s="398"/>
      <c r="U42" s="445"/>
    </row>
    <row r="43" spans="1:21" s="457" customFormat="1" ht="40.5" customHeight="1" x14ac:dyDescent="0.25">
      <c r="A43" s="461"/>
      <c r="B43" s="480"/>
      <c r="C43" s="481">
        <v>6050</v>
      </c>
      <c r="D43" s="466" t="s">
        <v>760</v>
      </c>
      <c r="E43" s="483">
        <v>150000</v>
      </c>
      <c r="F43" s="484">
        <f t="shared" si="8"/>
        <v>150000</v>
      </c>
      <c r="G43" s="483">
        <v>150000</v>
      </c>
      <c r="H43" s="483"/>
      <c r="I43" s="483"/>
      <c r="J43" s="483"/>
      <c r="K43" s="483"/>
      <c r="L43" s="483"/>
      <c r="M43" s="483"/>
      <c r="N43" s="483"/>
      <c r="O43" s="485"/>
      <c r="P43" s="518" t="s">
        <v>730</v>
      </c>
      <c r="Q43" s="468" t="s">
        <v>745</v>
      </c>
      <c r="R43" s="398"/>
      <c r="S43" s="398"/>
      <c r="T43" s="398"/>
      <c r="U43" s="445"/>
    </row>
    <row r="44" spans="1:21" s="457" customFormat="1" ht="40.5" customHeight="1" x14ac:dyDescent="0.25">
      <c r="A44" s="461"/>
      <c r="B44" s="480"/>
      <c r="C44" s="481">
        <v>6050</v>
      </c>
      <c r="D44" s="466" t="s">
        <v>761</v>
      </c>
      <c r="E44" s="483">
        <v>1700000</v>
      </c>
      <c r="F44" s="484">
        <f t="shared" si="8"/>
        <v>1000000</v>
      </c>
      <c r="G44" s="483">
        <v>1000000</v>
      </c>
      <c r="H44" s="483"/>
      <c r="I44" s="483"/>
      <c r="J44" s="483"/>
      <c r="K44" s="483"/>
      <c r="L44" s="483"/>
      <c r="M44" s="483"/>
      <c r="N44" s="483"/>
      <c r="O44" s="485"/>
      <c r="P44" s="518" t="s">
        <v>730</v>
      </c>
      <c r="Q44" s="468" t="s">
        <v>745</v>
      </c>
      <c r="R44" s="398"/>
      <c r="S44" s="398"/>
      <c r="T44" s="398"/>
      <c r="U44" s="445"/>
    </row>
    <row r="45" spans="1:21" s="457" customFormat="1" ht="40.5" customHeight="1" x14ac:dyDescent="0.25">
      <c r="A45" s="461"/>
      <c r="B45" s="480"/>
      <c r="C45" s="481">
        <v>6050</v>
      </c>
      <c r="D45" s="466" t="s">
        <v>762</v>
      </c>
      <c r="E45" s="485">
        <v>150000</v>
      </c>
      <c r="F45" s="484">
        <f t="shared" si="8"/>
        <v>150000</v>
      </c>
      <c r="G45" s="485">
        <v>150000</v>
      </c>
      <c r="H45" s="485"/>
      <c r="I45" s="485"/>
      <c r="J45" s="485"/>
      <c r="K45" s="485"/>
      <c r="L45" s="485"/>
      <c r="M45" s="485"/>
      <c r="N45" s="485"/>
      <c r="O45" s="485"/>
      <c r="P45" s="518" t="s">
        <v>730</v>
      </c>
      <c r="Q45" s="468"/>
      <c r="R45" s="398"/>
      <c r="S45" s="398"/>
      <c r="T45" s="398"/>
      <c r="U45" s="445"/>
    </row>
    <row r="46" spans="1:21" s="457" customFormat="1" ht="40.5" customHeight="1" x14ac:dyDescent="0.25">
      <c r="A46" s="461"/>
      <c r="B46" s="487"/>
      <c r="C46" s="488">
        <v>6050</v>
      </c>
      <c r="D46" s="466" t="s">
        <v>763</v>
      </c>
      <c r="E46" s="477">
        <v>6315000</v>
      </c>
      <c r="F46" s="484">
        <f t="shared" si="8"/>
        <v>6315000</v>
      </c>
      <c r="G46" s="477">
        <v>3315000</v>
      </c>
      <c r="H46" s="477">
        <v>3000000</v>
      </c>
      <c r="I46" s="489"/>
      <c r="J46" s="489"/>
      <c r="K46" s="489"/>
      <c r="L46" s="489"/>
      <c r="M46" s="489"/>
      <c r="N46" s="489"/>
      <c r="O46" s="489"/>
      <c r="P46" s="518" t="s">
        <v>730</v>
      </c>
      <c r="Q46" s="468" t="s">
        <v>745</v>
      </c>
      <c r="R46" s="398"/>
      <c r="S46" s="468" t="s">
        <v>742</v>
      </c>
      <c r="T46" s="398"/>
      <c r="U46" s="445"/>
    </row>
    <row r="47" spans="1:21" s="457" customFormat="1" ht="40.5" customHeight="1" x14ac:dyDescent="0.25">
      <c r="A47" s="461"/>
      <c r="B47" s="480"/>
      <c r="C47" s="452">
        <v>6050</v>
      </c>
      <c r="D47" s="475" t="s">
        <v>764</v>
      </c>
      <c r="E47" s="477">
        <f>8000000-4000000</f>
        <v>4000000</v>
      </c>
      <c r="F47" s="477">
        <f t="shared" si="8"/>
        <v>4000000</v>
      </c>
      <c r="G47" s="477">
        <v>4000000</v>
      </c>
      <c r="H47" s="477"/>
      <c r="I47" s="477"/>
      <c r="J47" s="477"/>
      <c r="K47" s="477"/>
      <c r="L47" s="477"/>
      <c r="M47" s="477"/>
      <c r="N47" s="477"/>
      <c r="O47" s="477"/>
      <c r="P47" s="1288" t="s">
        <v>730</v>
      </c>
      <c r="Q47" s="468"/>
      <c r="R47" s="398"/>
      <c r="S47" s="468"/>
      <c r="T47" s="398"/>
      <c r="U47" s="445"/>
    </row>
    <row r="48" spans="1:21" s="457" customFormat="1" ht="40.5" customHeight="1" x14ac:dyDescent="0.25">
      <c r="A48" s="461"/>
      <c r="B48" s="480"/>
      <c r="C48" s="452">
        <v>6050</v>
      </c>
      <c r="D48" s="475" t="s">
        <v>765</v>
      </c>
      <c r="E48" s="477">
        <v>500000</v>
      </c>
      <c r="F48" s="477">
        <f t="shared" ref="F48:F50" si="9">SUM(G48:I48)</f>
        <v>500000</v>
      </c>
      <c r="G48" s="477">
        <v>500000</v>
      </c>
      <c r="H48" s="477"/>
      <c r="I48" s="477"/>
      <c r="J48" s="477"/>
      <c r="K48" s="477"/>
      <c r="L48" s="477"/>
      <c r="M48" s="477"/>
      <c r="N48" s="477"/>
      <c r="O48" s="477"/>
      <c r="P48" s="1288" t="s">
        <v>730</v>
      </c>
      <c r="Q48" s="468"/>
      <c r="R48" s="398"/>
      <c r="S48" s="468"/>
      <c r="T48" s="398"/>
      <c r="U48" s="445"/>
    </row>
    <row r="49" spans="1:21" s="457" customFormat="1" ht="40.5" customHeight="1" x14ac:dyDescent="0.25">
      <c r="A49" s="461"/>
      <c r="B49" s="480"/>
      <c r="C49" s="452">
        <v>6050</v>
      </c>
      <c r="D49" s="475" t="s">
        <v>766</v>
      </c>
      <c r="E49" s="477">
        <v>1000000</v>
      </c>
      <c r="F49" s="477">
        <f t="shared" si="9"/>
        <v>1000000</v>
      </c>
      <c r="G49" s="477">
        <v>1000000</v>
      </c>
      <c r="H49" s="477"/>
      <c r="I49" s="477"/>
      <c r="J49" s="477"/>
      <c r="K49" s="477"/>
      <c r="L49" s="477"/>
      <c r="M49" s="477"/>
      <c r="N49" s="477"/>
      <c r="O49" s="477"/>
      <c r="P49" s="1288" t="s">
        <v>730</v>
      </c>
      <c r="Q49" s="468"/>
      <c r="R49" s="398"/>
      <c r="S49" s="468"/>
      <c r="T49" s="398"/>
      <c r="U49" s="445"/>
    </row>
    <row r="50" spans="1:21" s="457" customFormat="1" ht="40.5" customHeight="1" x14ac:dyDescent="0.25">
      <c r="A50" s="461"/>
      <c r="B50" s="480"/>
      <c r="C50" s="452">
        <v>6050</v>
      </c>
      <c r="D50" s="475" t="s">
        <v>767</v>
      </c>
      <c r="E50" s="477">
        <f>1000000-500000</f>
        <v>500000</v>
      </c>
      <c r="F50" s="477">
        <f t="shared" si="9"/>
        <v>500000</v>
      </c>
      <c r="G50" s="477">
        <v>500000</v>
      </c>
      <c r="H50" s="477"/>
      <c r="I50" s="477"/>
      <c r="J50" s="477"/>
      <c r="K50" s="477"/>
      <c r="L50" s="477"/>
      <c r="M50" s="477"/>
      <c r="N50" s="477"/>
      <c r="O50" s="477"/>
      <c r="P50" s="1288" t="s">
        <v>730</v>
      </c>
      <c r="Q50" s="468"/>
      <c r="R50" s="398"/>
      <c r="S50" s="468"/>
      <c r="T50" s="398"/>
      <c r="U50" s="445"/>
    </row>
    <row r="51" spans="1:21" s="457" customFormat="1" ht="40.5" customHeight="1" x14ac:dyDescent="0.25">
      <c r="A51" s="461"/>
      <c r="B51" s="480">
        <v>60017</v>
      </c>
      <c r="C51" s="452"/>
      <c r="D51" s="462" t="s">
        <v>164</v>
      </c>
      <c r="E51" s="490">
        <f>SUM(E52)</f>
        <v>1000000</v>
      </c>
      <c r="F51" s="490">
        <f t="shared" ref="F51:O51" si="10">SUM(F52)</f>
        <v>1000000</v>
      </c>
      <c r="G51" s="490">
        <f t="shared" si="10"/>
        <v>1000000</v>
      </c>
      <c r="H51" s="491">
        <f t="shared" si="10"/>
        <v>0</v>
      </c>
      <c r="I51" s="491">
        <f t="shared" si="10"/>
        <v>0</v>
      </c>
      <c r="J51" s="491">
        <f t="shared" si="10"/>
        <v>0</v>
      </c>
      <c r="K51" s="491">
        <f t="shared" si="10"/>
        <v>0</v>
      </c>
      <c r="L51" s="491">
        <f t="shared" si="10"/>
        <v>0</v>
      </c>
      <c r="M51" s="491">
        <f t="shared" si="10"/>
        <v>0</v>
      </c>
      <c r="N51" s="491">
        <f t="shared" si="10"/>
        <v>0</v>
      </c>
      <c r="O51" s="491">
        <f t="shared" si="10"/>
        <v>0</v>
      </c>
      <c r="P51" s="1289"/>
      <c r="Q51" s="468"/>
      <c r="R51" s="398"/>
      <c r="S51" s="468"/>
      <c r="T51" s="398"/>
      <c r="U51" s="445"/>
    </row>
    <row r="52" spans="1:21" s="457" customFormat="1" ht="40.5" customHeight="1" x14ac:dyDescent="0.25">
      <c r="A52" s="461"/>
      <c r="B52" s="480"/>
      <c r="C52" s="452">
        <v>6050</v>
      </c>
      <c r="D52" s="466" t="s">
        <v>768</v>
      </c>
      <c r="E52" s="477">
        <v>1000000</v>
      </c>
      <c r="F52" s="477">
        <f>SUM(G52:I52)</f>
        <v>1000000</v>
      </c>
      <c r="G52" s="477">
        <v>1000000</v>
      </c>
      <c r="H52" s="477"/>
      <c r="I52" s="477"/>
      <c r="J52" s="477"/>
      <c r="K52" s="477"/>
      <c r="L52" s="477"/>
      <c r="M52" s="477"/>
      <c r="N52" s="477"/>
      <c r="O52" s="477"/>
      <c r="P52" s="1288" t="s">
        <v>730</v>
      </c>
      <c r="Q52" s="468"/>
      <c r="R52" s="398"/>
      <c r="S52" s="468"/>
      <c r="T52" s="398"/>
      <c r="U52" s="445"/>
    </row>
    <row r="53" spans="1:21" s="473" customFormat="1" ht="40.5" customHeight="1" x14ac:dyDescent="0.25">
      <c r="A53" s="480">
        <v>700</v>
      </c>
      <c r="B53" s="480"/>
      <c r="C53" s="452"/>
      <c r="D53" s="462" t="s">
        <v>769</v>
      </c>
      <c r="E53" s="492">
        <f>SUM(E67,E57,E54,E65)</f>
        <v>172459658.70999998</v>
      </c>
      <c r="F53" s="492">
        <f t="shared" ref="F53:O53" si="11">SUM(F67,F57,F54,F65)</f>
        <v>96600932.659999996</v>
      </c>
      <c r="G53" s="492">
        <f t="shared" si="11"/>
        <v>36486613.190000005</v>
      </c>
      <c r="H53" s="492">
        <f t="shared" si="11"/>
        <v>46245785.629999995</v>
      </c>
      <c r="I53" s="492">
        <f t="shared" si="11"/>
        <v>13868533.84</v>
      </c>
      <c r="J53" s="492">
        <f t="shared" si="11"/>
        <v>14956368.26</v>
      </c>
      <c r="K53" s="492">
        <f t="shared" si="11"/>
        <v>7325000</v>
      </c>
      <c r="L53" s="492">
        <f t="shared" si="11"/>
        <v>1325000</v>
      </c>
      <c r="M53" s="492">
        <f t="shared" si="11"/>
        <v>1325000</v>
      </c>
      <c r="N53" s="492">
        <f t="shared" si="11"/>
        <v>0</v>
      </c>
      <c r="O53" s="492">
        <f t="shared" si="11"/>
        <v>0</v>
      </c>
      <c r="P53" s="518"/>
      <c r="S53" s="493"/>
    </row>
    <row r="54" spans="1:21" s="473" customFormat="1" ht="40.5" customHeight="1" x14ac:dyDescent="0.25">
      <c r="A54" s="480"/>
      <c r="B54" s="494">
        <v>70005</v>
      </c>
      <c r="C54" s="495"/>
      <c r="D54" s="496" t="s">
        <v>177</v>
      </c>
      <c r="E54" s="463">
        <f t="shared" ref="E54:O54" si="12">SUM(E55:E56)</f>
        <v>11877400</v>
      </c>
      <c r="F54" s="463">
        <f t="shared" si="12"/>
        <v>6577400</v>
      </c>
      <c r="G54" s="463">
        <f t="shared" si="12"/>
        <v>6577400</v>
      </c>
      <c r="H54" s="463">
        <f t="shared" si="12"/>
        <v>0</v>
      </c>
      <c r="I54" s="463">
        <f t="shared" si="12"/>
        <v>0</v>
      </c>
      <c r="J54" s="463">
        <f t="shared" si="12"/>
        <v>1325000</v>
      </c>
      <c r="K54" s="463">
        <f t="shared" si="12"/>
        <v>1325000</v>
      </c>
      <c r="L54" s="463">
        <f t="shared" si="12"/>
        <v>1325000</v>
      </c>
      <c r="M54" s="463">
        <f t="shared" si="12"/>
        <v>1325000</v>
      </c>
      <c r="N54" s="463">
        <f t="shared" si="12"/>
        <v>0</v>
      </c>
      <c r="O54" s="463">
        <f t="shared" si="12"/>
        <v>0</v>
      </c>
      <c r="P54" s="518"/>
      <c r="S54" s="493"/>
    </row>
    <row r="55" spans="1:21" s="473" customFormat="1" ht="40.5" customHeight="1" x14ac:dyDescent="0.25">
      <c r="A55" s="480"/>
      <c r="B55" s="494"/>
      <c r="C55" s="497">
        <v>6060</v>
      </c>
      <c r="D55" s="498" t="s">
        <v>770</v>
      </c>
      <c r="E55" s="467">
        <f>10000000-5000000</f>
        <v>5000000</v>
      </c>
      <c r="F55" s="467">
        <f>SUM(G55:I55)</f>
        <v>5000000</v>
      </c>
      <c r="G55" s="467">
        <f>10000000-5000000</f>
        <v>5000000</v>
      </c>
      <c r="H55" s="467"/>
      <c r="I55" s="467"/>
      <c r="J55" s="483"/>
      <c r="K55" s="483"/>
      <c r="L55" s="483"/>
      <c r="M55" s="483"/>
      <c r="N55" s="483"/>
      <c r="O55" s="485"/>
      <c r="P55" s="1286" t="s">
        <v>771</v>
      </c>
      <c r="S55" s="493"/>
    </row>
    <row r="56" spans="1:21" s="473" customFormat="1" ht="40.5" customHeight="1" x14ac:dyDescent="0.25">
      <c r="A56" s="480"/>
      <c r="B56" s="494"/>
      <c r="C56" s="497">
        <v>6060</v>
      </c>
      <c r="D56" s="498" t="s">
        <v>772</v>
      </c>
      <c r="E56" s="467">
        <v>6877400</v>
      </c>
      <c r="F56" s="467">
        <f>SUM(G56:I56)</f>
        <v>1577400</v>
      </c>
      <c r="G56" s="467">
        <v>1577400</v>
      </c>
      <c r="H56" s="467"/>
      <c r="I56" s="467"/>
      <c r="J56" s="483">
        <v>1325000</v>
      </c>
      <c r="K56" s="483">
        <v>1325000</v>
      </c>
      <c r="L56" s="483">
        <v>1325000</v>
      </c>
      <c r="M56" s="483">
        <v>1325000</v>
      </c>
      <c r="N56" s="483"/>
      <c r="O56" s="485"/>
      <c r="P56" s="1286" t="s">
        <v>771</v>
      </c>
      <c r="Q56" s="468" t="s">
        <v>773</v>
      </c>
      <c r="S56" s="493"/>
    </row>
    <row r="57" spans="1:21" s="473" customFormat="1" ht="40.5" customHeight="1" x14ac:dyDescent="0.25">
      <c r="A57" s="480"/>
      <c r="B57" s="480">
        <v>70007</v>
      </c>
      <c r="C57" s="452"/>
      <c r="D57" s="462" t="s">
        <v>774</v>
      </c>
      <c r="E57" s="492">
        <f>SUM(E58:E64)</f>
        <v>22470315.879999999</v>
      </c>
      <c r="F57" s="492">
        <f t="shared" ref="F57:O57" si="13">SUM(F58:F64)</f>
        <v>22270315.879999999</v>
      </c>
      <c r="G57" s="492">
        <f t="shared" si="13"/>
        <v>13803208</v>
      </c>
      <c r="H57" s="492">
        <f t="shared" si="13"/>
        <v>7407442.8399999999</v>
      </c>
      <c r="I57" s="492">
        <f t="shared" si="13"/>
        <v>1059665.04</v>
      </c>
      <c r="J57" s="492">
        <f t="shared" si="13"/>
        <v>0</v>
      </c>
      <c r="K57" s="492">
        <f t="shared" si="13"/>
        <v>0</v>
      </c>
      <c r="L57" s="492">
        <f t="shared" si="13"/>
        <v>0</v>
      </c>
      <c r="M57" s="492">
        <f t="shared" si="13"/>
        <v>0</v>
      </c>
      <c r="N57" s="492">
        <f t="shared" si="13"/>
        <v>0</v>
      </c>
      <c r="O57" s="492">
        <f t="shared" si="13"/>
        <v>0</v>
      </c>
      <c r="P57" s="486"/>
      <c r="S57" s="493"/>
    </row>
    <row r="58" spans="1:21" s="473" customFormat="1" ht="40.5" customHeight="1" x14ac:dyDescent="0.25">
      <c r="A58" s="480"/>
      <c r="B58" s="480"/>
      <c r="C58" s="486" t="s">
        <v>775</v>
      </c>
      <c r="D58" s="466" t="s">
        <v>776</v>
      </c>
      <c r="E58" s="485">
        <v>1115436.8799999999</v>
      </c>
      <c r="F58" s="485">
        <f>SUM(G58:I58)</f>
        <v>1115436.8800000001</v>
      </c>
      <c r="G58" s="485"/>
      <c r="H58" s="485">
        <v>55771.839999999997</v>
      </c>
      <c r="I58" s="485">
        <v>1059665.04</v>
      </c>
      <c r="J58" s="485"/>
      <c r="K58" s="485"/>
      <c r="L58" s="485"/>
      <c r="M58" s="485"/>
      <c r="N58" s="485"/>
      <c r="O58" s="485"/>
      <c r="P58" s="486" t="s">
        <v>771</v>
      </c>
      <c r="Q58" s="468" t="s">
        <v>745</v>
      </c>
      <c r="S58" s="493"/>
    </row>
    <row r="59" spans="1:21" s="473" customFormat="1" ht="40.5" customHeight="1" x14ac:dyDescent="0.25">
      <c r="A59" s="480"/>
      <c r="B59" s="480"/>
      <c r="C59" s="452">
        <v>6050</v>
      </c>
      <c r="D59" s="466" t="s">
        <v>777</v>
      </c>
      <c r="E59" s="476">
        <v>16944879</v>
      </c>
      <c r="F59" s="476">
        <f>SUM(G59:I59)</f>
        <v>16944879</v>
      </c>
      <c r="G59" s="476">
        <v>10000000</v>
      </c>
      <c r="H59" s="476">
        <v>6944879</v>
      </c>
      <c r="I59" s="476"/>
      <c r="J59" s="476"/>
      <c r="K59" s="476"/>
      <c r="L59" s="476"/>
      <c r="M59" s="476"/>
      <c r="N59" s="476"/>
      <c r="O59" s="476"/>
      <c r="P59" s="486" t="s">
        <v>778</v>
      </c>
      <c r="Q59" s="468"/>
      <c r="S59" s="493"/>
    </row>
    <row r="60" spans="1:21" s="473" customFormat="1" ht="40.5" customHeight="1" x14ac:dyDescent="0.25">
      <c r="A60" s="480"/>
      <c r="B60" s="480"/>
      <c r="C60" s="499">
        <v>6050</v>
      </c>
      <c r="D60" s="466" t="s">
        <v>779</v>
      </c>
      <c r="E60" s="476">
        <v>360000</v>
      </c>
      <c r="F60" s="476">
        <f t="shared" ref="F60:F64" si="14">SUM(G60:I60)</f>
        <v>360000</v>
      </c>
      <c r="G60" s="476">
        <v>360000</v>
      </c>
      <c r="H60" s="476"/>
      <c r="I60" s="476"/>
      <c r="J60" s="476"/>
      <c r="K60" s="476"/>
      <c r="L60" s="476"/>
      <c r="M60" s="476"/>
      <c r="N60" s="476"/>
      <c r="O60" s="476"/>
      <c r="P60" s="486" t="s">
        <v>778</v>
      </c>
      <c r="Q60" s="468"/>
      <c r="S60" s="493"/>
    </row>
    <row r="61" spans="1:21" s="473" customFormat="1" ht="40.5" customHeight="1" x14ac:dyDescent="0.25">
      <c r="A61" s="480"/>
      <c r="B61" s="480"/>
      <c r="C61" s="452">
        <v>6050</v>
      </c>
      <c r="D61" s="466" t="s">
        <v>780</v>
      </c>
      <c r="E61" s="476">
        <v>1800000</v>
      </c>
      <c r="F61" s="476">
        <f t="shared" si="14"/>
        <v>1600000</v>
      </c>
      <c r="G61" s="476">
        <v>1193208</v>
      </c>
      <c r="H61" s="476">
        <v>406792</v>
      </c>
      <c r="I61" s="476"/>
      <c r="J61" s="476"/>
      <c r="K61" s="476"/>
      <c r="L61" s="476"/>
      <c r="M61" s="476"/>
      <c r="N61" s="476"/>
      <c r="O61" s="476"/>
      <c r="P61" s="486" t="s">
        <v>778</v>
      </c>
      <c r="Q61" s="468"/>
      <c r="S61" s="493"/>
    </row>
    <row r="62" spans="1:21" s="473" customFormat="1" ht="40.5" customHeight="1" x14ac:dyDescent="0.25">
      <c r="A62" s="480"/>
      <c r="B62" s="480"/>
      <c r="C62" s="452">
        <v>6050</v>
      </c>
      <c r="D62" s="466" t="s">
        <v>781</v>
      </c>
      <c r="E62" s="476">
        <v>1450000</v>
      </c>
      <c r="F62" s="476">
        <f t="shared" si="14"/>
        <v>1450000</v>
      </c>
      <c r="G62" s="476">
        <v>1450000</v>
      </c>
      <c r="H62" s="476"/>
      <c r="I62" s="476"/>
      <c r="J62" s="476"/>
      <c r="K62" s="476"/>
      <c r="L62" s="476"/>
      <c r="M62" s="476"/>
      <c r="N62" s="476"/>
      <c r="O62" s="476"/>
      <c r="P62" s="486" t="s">
        <v>778</v>
      </c>
      <c r="Q62" s="468"/>
      <c r="S62" s="493"/>
    </row>
    <row r="63" spans="1:21" s="473" customFormat="1" ht="40.5" customHeight="1" x14ac:dyDescent="0.25">
      <c r="A63" s="480"/>
      <c r="B63" s="480"/>
      <c r="C63" s="452">
        <v>6050</v>
      </c>
      <c r="D63" s="466" t="s">
        <v>782</v>
      </c>
      <c r="E63" s="476">
        <v>300000</v>
      </c>
      <c r="F63" s="476">
        <f t="shared" si="14"/>
        <v>300000</v>
      </c>
      <c r="G63" s="476">
        <v>300000</v>
      </c>
      <c r="H63" s="476"/>
      <c r="I63" s="476"/>
      <c r="J63" s="476"/>
      <c r="K63" s="476"/>
      <c r="L63" s="476"/>
      <c r="M63" s="476"/>
      <c r="N63" s="476"/>
      <c r="O63" s="476"/>
      <c r="P63" s="486" t="s">
        <v>778</v>
      </c>
      <c r="Q63" s="468"/>
      <c r="S63" s="493"/>
    </row>
    <row r="64" spans="1:21" s="473" customFormat="1" ht="40.5" customHeight="1" x14ac:dyDescent="0.25">
      <c r="A64" s="480"/>
      <c r="B64" s="480"/>
      <c r="C64" s="452">
        <v>6050</v>
      </c>
      <c r="D64" s="475" t="s">
        <v>783</v>
      </c>
      <c r="E64" s="476">
        <v>500000</v>
      </c>
      <c r="F64" s="476">
        <f t="shared" si="14"/>
        <v>500000</v>
      </c>
      <c r="G64" s="476">
        <v>500000</v>
      </c>
      <c r="H64" s="476"/>
      <c r="I64" s="476"/>
      <c r="J64" s="476"/>
      <c r="K64" s="476"/>
      <c r="L64" s="476"/>
      <c r="M64" s="476"/>
      <c r="N64" s="476"/>
      <c r="O64" s="476"/>
      <c r="P64" s="486" t="s">
        <v>778</v>
      </c>
      <c r="Q64" s="468"/>
      <c r="S64" s="493"/>
    </row>
    <row r="65" spans="1:19" s="473" customFormat="1" ht="40.5" customHeight="1" x14ac:dyDescent="0.25">
      <c r="A65" s="480"/>
      <c r="B65" s="480">
        <v>70021</v>
      </c>
      <c r="C65" s="486"/>
      <c r="D65" s="500" t="s">
        <v>581</v>
      </c>
      <c r="E65" s="501">
        <f>SUM(E66)</f>
        <v>45283309.329999998</v>
      </c>
      <c r="F65" s="501">
        <f t="shared" ref="F65:N65" si="15">SUM(F66)</f>
        <v>9000000</v>
      </c>
      <c r="G65" s="501">
        <f t="shared" si="15"/>
        <v>1977653.84</v>
      </c>
      <c r="H65" s="501">
        <f t="shared" si="15"/>
        <v>0</v>
      </c>
      <c r="I65" s="501">
        <f t="shared" si="15"/>
        <v>7022346.1600000001</v>
      </c>
      <c r="J65" s="501">
        <f t="shared" si="15"/>
        <v>2631368.2599999998</v>
      </c>
      <c r="K65" s="501">
        <f t="shared" si="15"/>
        <v>0</v>
      </c>
      <c r="L65" s="501">
        <f t="shared" si="15"/>
        <v>0</v>
      </c>
      <c r="M65" s="501">
        <f t="shared" si="15"/>
        <v>0</v>
      </c>
      <c r="N65" s="501">
        <f t="shared" si="15"/>
        <v>0</v>
      </c>
      <c r="O65" s="502"/>
      <c r="P65" s="518"/>
      <c r="Q65" s="398"/>
      <c r="S65" s="493"/>
    </row>
    <row r="66" spans="1:19" s="473" customFormat="1" ht="50.25" customHeight="1" x14ac:dyDescent="0.25">
      <c r="A66" s="480"/>
      <c r="B66" s="480"/>
      <c r="C66" s="486" t="s">
        <v>784</v>
      </c>
      <c r="D66" s="503" t="s">
        <v>785</v>
      </c>
      <c r="E66" s="483">
        <v>45283309.329999998</v>
      </c>
      <c r="F66" s="504">
        <f>SUM(G66:I66)</f>
        <v>9000000</v>
      </c>
      <c r="G66" s="483">
        <v>1977653.84</v>
      </c>
      <c r="H66" s="483"/>
      <c r="I66" s="483">
        <v>7022346.1600000001</v>
      </c>
      <c r="J66" s="505">
        <v>2631368.2599999998</v>
      </c>
      <c r="K66" s="505"/>
      <c r="L66" s="505"/>
      <c r="M66" s="505"/>
      <c r="N66" s="505"/>
      <c r="O66" s="506"/>
      <c r="P66" s="518" t="s">
        <v>786</v>
      </c>
      <c r="Q66" s="445" t="s">
        <v>731</v>
      </c>
      <c r="S66" s="493"/>
    </row>
    <row r="67" spans="1:19" s="473" customFormat="1" ht="40.5" customHeight="1" x14ac:dyDescent="0.25">
      <c r="A67" s="480"/>
      <c r="B67" s="480">
        <v>70095</v>
      </c>
      <c r="C67" s="452"/>
      <c r="D67" s="462" t="s">
        <v>96</v>
      </c>
      <c r="E67" s="492">
        <f>SUM(E68:E74)</f>
        <v>92828633.5</v>
      </c>
      <c r="F67" s="492">
        <f t="shared" ref="F67:O67" si="16">SUM(F68:F74)</f>
        <v>58753216.780000001</v>
      </c>
      <c r="G67" s="492">
        <f t="shared" si="16"/>
        <v>14128351.35</v>
      </c>
      <c r="H67" s="492">
        <f t="shared" si="16"/>
        <v>38838342.789999999</v>
      </c>
      <c r="I67" s="492">
        <f t="shared" si="16"/>
        <v>5786522.6400000006</v>
      </c>
      <c r="J67" s="492">
        <f t="shared" si="16"/>
        <v>11000000</v>
      </c>
      <c r="K67" s="492">
        <f t="shared" si="16"/>
        <v>6000000</v>
      </c>
      <c r="L67" s="492">
        <f t="shared" si="16"/>
        <v>0</v>
      </c>
      <c r="M67" s="492">
        <f t="shared" si="16"/>
        <v>0</v>
      </c>
      <c r="N67" s="492">
        <f t="shared" si="16"/>
        <v>0</v>
      </c>
      <c r="O67" s="492">
        <f t="shared" si="16"/>
        <v>0</v>
      </c>
      <c r="P67" s="518"/>
      <c r="S67" s="493"/>
    </row>
    <row r="68" spans="1:19" s="473" customFormat="1" ht="40.5" customHeight="1" x14ac:dyDescent="0.25">
      <c r="A68" s="480"/>
      <c r="B68" s="480"/>
      <c r="C68" s="481">
        <v>6050</v>
      </c>
      <c r="D68" s="507" t="s">
        <v>787</v>
      </c>
      <c r="E68" s="508">
        <v>10406181.380000001</v>
      </c>
      <c r="F68" s="508">
        <f t="shared" ref="F68:F74" si="17">SUM(G68:I68)</f>
        <v>6356181.3799999999</v>
      </c>
      <c r="G68" s="508">
        <v>1609410.78</v>
      </c>
      <c r="H68" s="508">
        <v>4746770.5999999996</v>
      </c>
      <c r="I68" s="508"/>
      <c r="J68" s="505">
        <v>2000000</v>
      </c>
      <c r="K68" s="505">
        <v>2000000</v>
      </c>
      <c r="L68" s="505"/>
      <c r="M68" s="505"/>
      <c r="N68" s="505"/>
      <c r="O68" s="506"/>
      <c r="P68" s="518" t="s">
        <v>788</v>
      </c>
      <c r="Q68" s="468" t="s">
        <v>789</v>
      </c>
      <c r="S68" s="509"/>
    </row>
    <row r="69" spans="1:19" s="473" customFormat="1" ht="40.5" customHeight="1" x14ac:dyDescent="0.25">
      <c r="A69" s="480"/>
      <c r="B69" s="480"/>
      <c r="C69" s="481">
        <v>6050</v>
      </c>
      <c r="D69" s="507" t="s">
        <v>790</v>
      </c>
      <c r="E69" s="508">
        <v>4603845.0999999996</v>
      </c>
      <c r="F69" s="508">
        <f t="shared" si="17"/>
        <v>3441854.0999999996</v>
      </c>
      <c r="G69" s="508">
        <v>1046219.47</v>
      </c>
      <c r="H69" s="508">
        <v>2395634.63</v>
      </c>
      <c r="I69" s="508"/>
      <c r="J69" s="505">
        <v>1000000</v>
      </c>
      <c r="K69" s="505"/>
      <c r="L69" s="505"/>
      <c r="M69" s="505"/>
      <c r="N69" s="505"/>
      <c r="O69" s="506"/>
      <c r="P69" s="518" t="s">
        <v>788</v>
      </c>
      <c r="Q69" s="468" t="s">
        <v>791</v>
      </c>
      <c r="S69" s="493"/>
    </row>
    <row r="70" spans="1:19" s="473" customFormat="1" ht="40.5" customHeight="1" x14ac:dyDescent="0.25">
      <c r="A70" s="480"/>
      <c r="B70" s="480"/>
      <c r="C70" s="486" t="s">
        <v>792</v>
      </c>
      <c r="D70" s="507" t="s">
        <v>793</v>
      </c>
      <c r="E70" s="508">
        <v>7392297.8399999999</v>
      </c>
      <c r="F70" s="508">
        <f t="shared" si="17"/>
        <v>5830570.0899999999</v>
      </c>
      <c r="G70" s="508">
        <v>570000</v>
      </c>
      <c r="H70" s="508">
        <v>3987643.82</v>
      </c>
      <c r="I70" s="508">
        <v>1272926.27</v>
      </c>
      <c r="J70" s="510">
        <v>1500000</v>
      </c>
      <c r="K70" s="510"/>
      <c r="L70" s="510"/>
      <c r="M70" s="510"/>
      <c r="N70" s="510"/>
      <c r="O70" s="510"/>
      <c r="P70" s="518" t="s">
        <v>788</v>
      </c>
      <c r="Q70" s="468" t="s">
        <v>794</v>
      </c>
      <c r="S70" s="493" t="s">
        <v>795</v>
      </c>
    </row>
    <row r="71" spans="1:19" s="473" customFormat="1" ht="40.5" customHeight="1" x14ac:dyDescent="0.25">
      <c r="A71" s="480"/>
      <c r="B71" s="480"/>
      <c r="C71" s="481">
        <v>6050</v>
      </c>
      <c r="D71" s="511" t="s">
        <v>796</v>
      </c>
      <c r="E71" s="508">
        <v>22330386</v>
      </c>
      <c r="F71" s="508">
        <f t="shared" si="17"/>
        <v>6000000</v>
      </c>
      <c r="G71" s="508">
        <v>6000000</v>
      </c>
      <c r="H71" s="508"/>
      <c r="I71" s="508"/>
      <c r="J71" s="505"/>
      <c r="K71" s="505"/>
      <c r="L71" s="505"/>
      <c r="M71" s="505"/>
      <c r="N71" s="505"/>
      <c r="O71" s="506"/>
      <c r="P71" s="518" t="s">
        <v>788</v>
      </c>
      <c r="Q71" s="468" t="s">
        <v>797</v>
      </c>
      <c r="S71" s="493"/>
    </row>
    <row r="72" spans="1:19" s="473" customFormat="1" ht="40.5" customHeight="1" x14ac:dyDescent="0.25">
      <c r="A72" s="480"/>
      <c r="B72" s="480"/>
      <c r="C72" s="486" t="s">
        <v>792</v>
      </c>
      <c r="D72" s="512" t="s">
        <v>798</v>
      </c>
      <c r="E72" s="513">
        <v>43595923.18</v>
      </c>
      <c r="F72" s="513">
        <f t="shared" si="17"/>
        <v>34124611.210000001</v>
      </c>
      <c r="G72" s="513">
        <v>1902721.1</v>
      </c>
      <c r="H72" s="513">
        <v>27708293.739999998</v>
      </c>
      <c r="I72" s="513">
        <v>4513596.37</v>
      </c>
      <c r="J72" s="505">
        <v>5000000</v>
      </c>
      <c r="K72" s="505">
        <v>4000000</v>
      </c>
      <c r="L72" s="505"/>
      <c r="M72" s="505"/>
      <c r="N72" s="505"/>
      <c r="O72" s="506"/>
      <c r="P72" s="518" t="s">
        <v>788</v>
      </c>
      <c r="Q72" s="468" t="s">
        <v>789</v>
      </c>
      <c r="S72" s="493" t="s">
        <v>795</v>
      </c>
    </row>
    <row r="73" spans="1:19" s="473" customFormat="1" ht="40.5" customHeight="1" x14ac:dyDescent="0.25">
      <c r="A73" s="480"/>
      <c r="B73" s="480"/>
      <c r="C73" s="486">
        <v>6230</v>
      </c>
      <c r="D73" s="503" t="s">
        <v>799</v>
      </c>
      <c r="E73" s="483">
        <v>1500000</v>
      </c>
      <c r="F73" s="513">
        <f t="shared" si="17"/>
        <v>1500000</v>
      </c>
      <c r="G73" s="483">
        <v>1500000</v>
      </c>
      <c r="H73" s="483"/>
      <c r="I73" s="483"/>
      <c r="J73" s="505"/>
      <c r="K73" s="505"/>
      <c r="L73" s="505"/>
      <c r="M73" s="505"/>
      <c r="N73" s="505"/>
      <c r="O73" s="506"/>
      <c r="P73" s="518" t="s">
        <v>771</v>
      </c>
      <c r="Q73" s="468"/>
      <c r="S73" s="493"/>
    </row>
    <row r="74" spans="1:19" s="473" customFormat="1" ht="48" customHeight="1" x14ac:dyDescent="0.25">
      <c r="A74" s="480"/>
      <c r="B74" s="480"/>
      <c r="C74" s="486">
        <v>6030</v>
      </c>
      <c r="D74" s="503" t="s">
        <v>800</v>
      </c>
      <c r="E74" s="483">
        <v>3000000</v>
      </c>
      <c r="F74" s="504">
        <f t="shared" si="17"/>
        <v>1500000</v>
      </c>
      <c r="G74" s="483">
        <v>1500000</v>
      </c>
      <c r="H74" s="483"/>
      <c r="I74" s="483"/>
      <c r="J74" s="505">
        <v>1500000</v>
      </c>
      <c r="K74" s="505"/>
      <c r="L74" s="505"/>
      <c r="M74" s="505"/>
      <c r="N74" s="505"/>
      <c r="O74" s="506"/>
      <c r="P74" s="518" t="s">
        <v>786</v>
      </c>
      <c r="Q74" s="445" t="s">
        <v>751</v>
      </c>
      <c r="S74" s="493"/>
    </row>
    <row r="75" spans="1:19" s="473" customFormat="1" ht="40.5" customHeight="1" x14ac:dyDescent="0.25">
      <c r="A75" s="480">
        <v>710</v>
      </c>
      <c r="B75" s="480"/>
      <c r="C75" s="486"/>
      <c r="D75" s="514" t="s">
        <v>801</v>
      </c>
      <c r="E75" s="501">
        <f>SUM(E76)</f>
        <v>900000</v>
      </c>
      <c r="F75" s="501">
        <f t="shared" ref="F75:O75" si="18">SUM(F76)</f>
        <v>900000</v>
      </c>
      <c r="G75" s="501">
        <f t="shared" si="18"/>
        <v>900000</v>
      </c>
      <c r="H75" s="501">
        <f t="shared" si="18"/>
        <v>0</v>
      </c>
      <c r="I75" s="501">
        <f t="shared" si="18"/>
        <v>0</v>
      </c>
      <c r="J75" s="501">
        <f t="shared" si="18"/>
        <v>0</v>
      </c>
      <c r="K75" s="501">
        <f t="shared" si="18"/>
        <v>0</v>
      </c>
      <c r="L75" s="501">
        <f t="shared" si="18"/>
        <v>0</v>
      </c>
      <c r="M75" s="501">
        <f t="shared" si="18"/>
        <v>0</v>
      </c>
      <c r="N75" s="501">
        <f t="shared" si="18"/>
        <v>0</v>
      </c>
      <c r="O75" s="501">
        <f t="shared" si="18"/>
        <v>0</v>
      </c>
      <c r="P75" s="518"/>
      <c r="Q75" s="468"/>
      <c r="S75" s="493"/>
    </row>
    <row r="76" spans="1:19" s="473" customFormat="1" ht="40.5" customHeight="1" x14ac:dyDescent="0.25">
      <c r="A76" s="480"/>
      <c r="B76" s="480">
        <v>71035</v>
      </c>
      <c r="C76" s="486"/>
      <c r="D76" s="514" t="s">
        <v>219</v>
      </c>
      <c r="E76" s="501">
        <f>SUM(E77:E81)</f>
        <v>900000</v>
      </c>
      <c r="F76" s="501">
        <f>SUM(F77:F81)</f>
        <v>900000</v>
      </c>
      <c r="G76" s="501">
        <f>SUM(G77:G81)</f>
        <v>900000</v>
      </c>
      <c r="H76" s="501">
        <f t="shared" ref="H76:O76" si="19">SUM(H77:H81)</f>
        <v>0</v>
      </c>
      <c r="I76" s="501">
        <f t="shared" si="19"/>
        <v>0</v>
      </c>
      <c r="J76" s="501">
        <f t="shared" si="19"/>
        <v>0</v>
      </c>
      <c r="K76" s="501">
        <f t="shared" si="19"/>
        <v>0</v>
      </c>
      <c r="L76" s="501">
        <f t="shared" si="19"/>
        <v>0</v>
      </c>
      <c r="M76" s="501">
        <f t="shared" si="19"/>
        <v>0</v>
      </c>
      <c r="N76" s="501">
        <f t="shared" si="19"/>
        <v>0</v>
      </c>
      <c r="O76" s="501">
        <f t="shared" si="19"/>
        <v>0</v>
      </c>
      <c r="P76" s="518"/>
      <c r="Q76" s="468"/>
      <c r="S76" s="493"/>
    </row>
    <row r="77" spans="1:19" s="473" customFormat="1" ht="47.25" customHeight="1" x14ac:dyDescent="0.25">
      <c r="A77" s="480"/>
      <c r="B77" s="480"/>
      <c r="C77" s="486">
        <v>6050</v>
      </c>
      <c r="D77" s="503" t="s">
        <v>802</v>
      </c>
      <c r="E77" s="483">
        <v>200000</v>
      </c>
      <c r="F77" s="504">
        <f>SUM(G77:I77)</f>
        <v>200000</v>
      </c>
      <c r="G77" s="483">
        <v>200000</v>
      </c>
      <c r="H77" s="483"/>
      <c r="I77" s="483"/>
      <c r="J77" s="505"/>
      <c r="K77" s="505"/>
      <c r="L77" s="505"/>
      <c r="M77" s="505"/>
      <c r="N77" s="505"/>
      <c r="O77" s="506"/>
      <c r="P77" s="518" t="s">
        <v>786</v>
      </c>
      <c r="Q77" s="468"/>
      <c r="S77" s="493"/>
    </row>
    <row r="78" spans="1:19" s="473" customFormat="1" ht="48.75" customHeight="1" x14ac:dyDescent="0.25">
      <c r="A78" s="480"/>
      <c r="B78" s="480"/>
      <c r="C78" s="486">
        <v>6050</v>
      </c>
      <c r="D78" s="503" t="s">
        <v>803</v>
      </c>
      <c r="E78" s="483">
        <v>200000</v>
      </c>
      <c r="F78" s="504">
        <f t="shared" ref="F78:F80" si="20">SUM(G78:I78)</f>
        <v>200000</v>
      </c>
      <c r="G78" s="483">
        <v>200000</v>
      </c>
      <c r="H78" s="483"/>
      <c r="I78" s="483"/>
      <c r="J78" s="505"/>
      <c r="K78" s="505"/>
      <c r="L78" s="505"/>
      <c r="M78" s="505"/>
      <c r="N78" s="505"/>
      <c r="O78" s="506"/>
      <c r="P78" s="518" t="s">
        <v>786</v>
      </c>
      <c r="Q78" s="468"/>
      <c r="S78" s="493"/>
    </row>
    <row r="79" spans="1:19" s="473" customFormat="1" ht="46.5" customHeight="1" x14ac:dyDescent="0.25">
      <c r="A79" s="480"/>
      <c r="B79" s="480"/>
      <c r="C79" s="486">
        <v>6050</v>
      </c>
      <c r="D79" s="503" t="s">
        <v>804</v>
      </c>
      <c r="E79" s="483">
        <v>250000</v>
      </c>
      <c r="F79" s="504">
        <f t="shared" si="20"/>
        <v>250000</v>
      </c>
      <c r="G79" s="483">
        <v>250000</v>
      </c>
      <c r="H79" s="483"/>
      <c r="I79" s="483"/>
      <c r="J79" s="505"/>
      <c r="K79" s="505"/>
      <c r="L79" s="505"/>
      <c r="M79" s="505"/>
      <c r="N79" s="505"/>
      <c r="O79" s="506"/>
      <c r="P79" s="518" t="s">
        <v>786</v>
      </c>
      <c r="Q79" s="468"/>
      <c r="S79" s="493"/>
    </row>
    <row r="80" spans="1:19" s="473" customFormat="1" ht="54" customHeight="1" x14ac:dyDescent="0.25">
      <c r="A80" s="480"/>
      <c r="B80" s="480"/>
      <c r="C80" s="486">
        <v>6050</v>
      </c>
      <c r="D80" s="503" t="s">
        <v>805</v>
      </c>
      <c r="E80" s="483">
        <v>150000</v>
      </c>
      <c r="F80" s="504">
        <f t="shared" si="20"/>
        <v>150000</v>
      </c>
      <c r="G80" s="483">
        <v>150000</v>
      </c>
      <c r="H80" s="483"/>
      <c r="I80" s="483"/>
      <c r="J80" s="505"/>
      <c r="K80" s="505"/>
      <c r="L80" s="505"/>
      <c r="M80" s="505"/>
      <c r="N80" s="505"/>
      <c r="O80" s="506"/>
      <c r="P80" s="518" t="s">
        <v>786</v>
      </c>
      <c r="Q80" s="468"/>
      <c r="S80" s="493"/>
    </row>
    <row r="81" spans="1:19" s="473" customFormat="1" ht="50.25" customHeight="1" x14ac:dyDescent="0.25">
      <c r="A81" s="480"/>
      <c r="B81" s="480"/>
      <c r="C81" s="486">
        <v>6050</v>
      </c>
      <c r="D81" s="503" t="s">
        <v>806</v>
      </c>
      <c r="E81" s="483">
        <v>100000</v>
      </c>
      <c r="F81" s="504">
        <f>SUM(G81:I81)</f>
        <v>100000</v>
      </c>
      <c r="G81" s="483">
        <v>100000</v>
      </c>
      <c r="H81" s="483"/>
      <c r="I81" s="483"/>
      <c r="J81" s="505"/>
      <c r="K81" s="505"/>
      <c r="L81" s="505"/>
      <c r="M81" s="505"/>
      <c r="N81" s="505"/>
      <c r="O81" s="506"/>
      <c r="P81" s="518" t="s">
        <v>786</v>
      </c>
      <c r="Q81" s="468"/>
      <c r="S81" s="493"/>
    </row>
    <row r="82" spans="1:19" s="473" customFormat="1" ht="40.5" customHeight="1" x14ac:dyDescent="0.25">
      <c r="A82" s="480">
        <v>750</v>
      </c>
      <c r="B82" s="480"/>
      <c r="C82" s="452"/>
      <c r="D82" s="462" t="s">
        <v>807</v>
      </c>
      <c r="E82" s="492">
        <f>SUM(E89,E83)</f>
        <v>101685876.03</v>
      </c>
      <c r="F82" s="492">
        <f t="shared" ref="F82:O82" si="21">SUM(F89,F83)</f>
        <v>38051597.349999994</v>
      </c>
      <c r="G82" s="492">
        <f t="shared" si="21"/>
        <v>22006984.759999998</v>
      </c>
      <c r="H82" s="492">
        <f t="shared" si="21"/>
        <v>136453.88</v>
      </c>
      <c r="I82" s="492">
        <f t="shared" si="21"/>
        <v>15908158.709999999</v>
      </c>
      <c r="J82" s="492">
        <f t="shared" si="21"/>
        <v>9352698.5</v>
      </c>
      <c r="K82" s="492">
        <f t="shared" si="21"/>
        <v>7500000</v>
      </c>
      <c r="L82" s="492">
        <f t="shared" si="21"/>
        <v>12521800</v>
      </c>
      <c r="M82" s="492">
        <f t="shared" si="21"/>
        <v>0</v>
      </c>
      <c r="N82" s="492">
        <f t="shared" si="21"/>
        <v>0</v>
      </c>
      <c r="O82" s="492">
        <f t="shared" si="21"/>
        <v>0</v>
      </c>
      <c r="P82" s="518"/>
      <c r="S82" s="493"/>
    </row>
    <row r="83" spans="1:19" s="473" customFormat="1" ht="40.5" customHeight="1" x14ac:dyDescent="0.25">
      <c r="A83" s="480"/>
      <c r="B83" s="480">
        <v>75023</v>
      </c>
      <c r="C83" s="486"/>
      <c r="D83" s="462" t="s">
        <v>228</v>
      </c>
      <c r="E83" s="501">
        <f>SUM(E84:E88)</f>
        <v>3736765</v>
      </c>
      <c r="F83" s="501">
        <f t="shared" ref="F83:O83" si="22">SUM(F84:F88)</f>
        <v>2878946.5</v>
      </c>
      <c r="G83" s="501">
        <f t="shared" si="22"/>
        <v>1105697.67</v>
      </c>
      <c r="H83" s="501">
        <f t="shared" si="22"/>
        <v>136453.88</v>
      </c>
      <c r="I83" s="501">
        <f t="shared" si="22"/>
        <v>1636794.95</v>
      </c>
      <c r="J83" s="501">
        <f t="shared" si="22"/>
        <v>642698.5</v>
      </c>
      <c r="K83" s="501">
        <f t="shared" si="22"/>
        <v>0</v>
      </c>
      <c r="L83" s="501">
        <f t="shared" si="22"/>
        <v>0</v>
      </c>
      <c r="M83" s="501">
        <f t="shared" si="22"/>
        <v>0</v>
      </c>
      <c r="N83" s="501">
        <f t="shared" si="22"/>
        <v>0</v>
      </c>
      <c r="O83" s="501">
        <f t="shared" si="22"/>
        <v>0</v>
      </c>
      <c r="P83" s="518"/>
      <c r="Q83" s="398"/>
      <c r="S83" s="493"/>
    </row>
    <row r="84" spans="1:19" s="473" customFormat="1" ht="51.75" customHeight="1" x14ac:dyDescent="0.25">
      <c r="A84" s="480"/>
      <c r="B84" s="480"/>
      <c r="C84" s="486" t="s">
        <v>808</v>
      </c>
      <c r="D84" s="503" t="s">
        <v>809</v>
      </c>
      <c r="E84" s="483">
        <v>1285397</v>
      </c>
      <c r="F84" s="504">
        <f>SUM(G84:I84)</f>
        <v>642698.5</v>
      </c>
      <c r="G84" s="483">
        <v>96404.77</v>
      </c>
      <c r="H84" s="483">
        <v>96404.78</v>
      </c>
      <c r="I84" s="483">
        <v>449888.95</v>
      </c>
      <c r="J84" s="505">
        <v>642698.5</v>
      </c>
      <c r="K84" s="505">
        <v>0</v>
      </c>
      <c r="L84" s="505"/>
      <c r="M84" s="505"/>
      <c r="N84" s="505"/>
      <c r="O84" s="506"/>
      <c r="P84" s="518" t="s">
        <v>810</v>
      </c>
      <c r="Q84" s="445" t="s">
        <v>811</v>
      </c>
      <c r="S84" s="493"/>
    </row>
    <row r="85" spans="1:19" s="473" customFormat="1" ht="40.5" customHeight="1" x14ac:dyDescent="0.25">
      <c r="A85" s="480"/>
      <c r="B85" s="480"/>
      <c r="C85" s="486">
        <v>6050</v>
      </c>
      <c r="D85" s="503" t="s">
        <v>812</v>
      </c>
      <c r="E85" s="483">
        <v>421760</v>
      </c>
      <c r="F85" s="504">
        <f>SUM(G85:I85)</f>
        <v>246000</v>
      </c>
      <c r="G85" s="483">
        <v>246000</v>
      </c>
      <c r="H85" s="483"/>
      <c r="I85" s="483"/>
      <c r="J85" s="505"/>
      <c r="K85" s="505"/>
      <c r="L85" s="505"/>
      <c r="M85" s="505"/>
      <c r="N85" s="505"/>
      <c r="O85" s="506"/>
      <c r="P85" s="518" t="s">
        <v>813</v>
      </c>
      <c r="Q85" s="468" t="s">
        <v>725</v>
      </c>
      <c r="S85" s="493"/>
    </row>
    <row r="86" spans="1:19" s="473" customFormat="1" ht="40.5" customHeight="1" x14ac:dyDescent="0.25">
      <c r="A86" s="480"/>
      <c r="B86" s="480"/>
      <c r="C86" s="486">
        <v>6060</v>
      </c>
      <c r="D86" s="503" t="s">
        <v>814</v>
      </c>
      <c r="E86" s="483">
        <f>966000-466000</f>
        <v>500000</v>
      </c>
      <c r="F86" s="504">
        <f t="shared" ref="F86:F88" si="23">SUM(G86:I86)</f>
        <v>500000</v>
      </c>
      <c r="G86" s="483">
        <v>500000</v>
      </c>
      <c r="H86" s="483"/>
      <c r="I86" s="483"/>
      <c r="J86" s="505"/>
      <c r="K86" s="505"/>
      <c r="L86" s="505"/>
      <c r="M86" s="505"/>
      <c r="N86" s="505"/>
      <c r="O86" s="506"/>
      <c r="P86" s="518" t="s">
        <v>813</v>
      </c>
      <c r="Q86" s="398"/>
      <c r="S86" s="493"/>
    </row>
    <row r="87" spans="1:19" s="473" customFormat="1" ht="40.5" customHeight="1" x14ac:dyDescent="0.25">
      <c r="A87" s="480"/>
      <c r="B87" s="480"/>
      <c r="C87" s="486" t="s">
        <v>815</v>
      </c>
      <c r="D87" s="503" t="s">
        <v>816</v>
      </c>
      <c r="E87" s="483">
        <f>251696.9+148545.1</f>
        <v>400242</v>
      </c>
      <c r="F87" s="504">
        <f t="shared" si="23"/>
        <v>360882</v>
      </c>
      <c r="G87" s="483">
        <v>93888</v>
      </c>
      <c r="H87" s="483">
        <v>40049.1</v>
      </c>
      <c r="I87" s="483">
        <v>226944.9</v>
      </c>
      <c r="J87" s="505"/>
      <c r="K87" s="505"/>
      <c r="L87" s="505"/>
      <c r="M87" s="505"/>
      <c r="N87" s="505"/>
      <c r="O87" s="506"/>
      <c r="P87" s="518" t="s">
        <v>813</v>
      </c>
      <c r="Q87" s="468" t="s">
        <v>725</v>
      </c>
      <c r="S87" s="493"/>
    </row>
    <row r="88" spans="1:19" s="473" customFormat="1" ht="40.5" customHeight="1" x14ac:dyDescent="0.25">
      <c r="A88" s="480"/>
      <c r="B88" s="480"/>
      <c r="C88" s="486" t="s">
        <v>815</v>
      </c>
      <c r="D88" s="503" t="s">
        <v>817</v>
      </c>
      <c r="E88" s="483">
        <f>959961.1+169404.9</f>
        <v>1129366</v>
      </c>
      <c r="F88" s="504">
        <f t="shared" si="23"/>
        <v>1129366</v>
      </c>
      <c r="G88" s="483">
        <v>169404.9</v>
      </c>
      <c r="H88" s="483"/>
      <c r="I88" s="483">
        <v>959961.1</v>
      </c>
      <c r="J88" s="505">
        <v>0</v>
      </c>
      <c r="K88" s="505">
        <v>0</v>
      </c>
      <c r="L88" s="505"/>
      <c r="M88" s="505"/>
      <c r="N88" s="505"/>
      <c r="O88" s="506"/>
      <c r="P88" s="518" t="s">
        <v>813</v>
      </c>
      <c r="Q88" s="468" t="s">
        <v>811</v>
      </c>
      <c r="S88" s="493"/>
    </row>
    <row r="89" spans="1:19" s="473" customFormat="1" ht="40.5" customHeight="1" x14ac:dyDescent="0.25">
      <c r="A89" s="480"/>
      <c r="B89" s="480">
        <v>75095</v>
      </c>
      <c r="C89" s="515"/>
      <c r="D89" s="516" t="s">
        <v>96</v>
      </c>
      <c r="E89" s="517">
        <f>SUM(E90:E97)</f>
        <v>97949111.030000001</v>
      </c>
      <c r="F89" s="517">
        <f t="shared" ref="F89:O89" si="24">SUM(F90:F97)</f>
        <v>35172650.849999994</v>
      </c>
      <c r="G89" s="517">
        <f t="shared" si="24"/>
        <v>20901287.09</v>
      </c>
      <c r="H89" s="517">
        <f t="shared" si="24"/>
        <v>0</v>
      </c>
      <c r="I89" s="517">
        <f t="shared" si="24"/>
        <v>14271363.76</v>
      </c>
      <c r="J89" s="517">
        <f t="shared" si="24"/>
        <v>8710000</v>
      </c>
      <c r="K89" s="517">
        <f t="shared" si="24"/>
        <v>7500000</v>
      </c>
      <c r="L89" s="517">
        <f t="shared" si="24"/>
        <v>12521800</v>
      </c>
      <c r="M89" s="517">
        <f t="shared" si="24"/>
        <v>0</v>
      </c>
      <c r="N89" s="517">
        <f t="shared" si="24"/>
        <v>0</v>
      </c>
      <c r="O89" s="517">
        <f t="shared" si="24"/>
        <v>0</v>
      </c>
      <c r="P89" s="1290"/>
      <c r="S89" s="493"/>
    </row>
    <row r="90" spans="1:19" s="473" customFormat="1" ht="40.5" customHeight="1" x14ac:dyDescent="0.25">
      <c r="A90" s="480"/>
      <c r="B90" s="480"/>
      <c r="C90" s="518" t="s">
        <v>818</v>
      </c>
      <c r="D90" s="466" t="s">
        <v>819</v>
      </c>
      <c r="E90" s="508">
        <v>21873286.559999999</v>
      </c>
      <c r="F90" s="508">
        <f t="shared" ref="F90:F97" si="25">SUM(G90:I90)</f>
        <v>18242041.719999999</v>
      </c>
      <c r="G90" s="508">
        <v>9515420.0399999991</v>
      </c>
      <c r="H90" s="508"/>
      <c r="I90" s="508">
        <v>8726621.6799999997</v>
      </c>
      <c r="J90" s="505"/>
      <c r="K90" s="505"/>
      <c r="L90" s="505"/>
      <c r="M90" s="505"/>
      <c r="N90" s="505"/>
      <c r="O90" s="467"/>
      <c r="P90" s="518" t="s">
        <v>788</v>
      </c>
      <c r="Q90" s="519" t="s">
        <v>797</v>
      </c>
      <c r="S90" s="493" t="s">
        <v>820</v>
      </c>
    </row>
    <row r="91" spans="1:19" s="522" customFormat="1" ht="40.5" customHeight="1" x14ac:dyDescent="0.3">
      <c r="A91" s="520"/>
      <c r="B91" s="520"/>
      <c r="C91" s="486">
        <v>6059</v>
      </c>
      <c r="D91" s="511" t="s">
        <v>821</v>
      </c>
      <c r="E91" s="508">
        <v>29521800</v>
      </c>
      <c r="F91" s="508">
        <f t="shared" si="25"/>
        <v>1000000</v>
      </c>
      <c r="G91" s="508">
        <v>1000000</v>
      </c>
      <c r="H91" s="508"/>
      <c r="I91" s="508"/>
      <c r="J91" s="505">
        <v>7500000</v>
      </c>
      <c r="K91" s="505">
        <v>7500000</v>
      </c>
      <c r="L91" s="505">
        <v>12521800</v>
      </c>
      <c r="M91" s="521"/>
      <c r="N91" s="521"/>
      <c r="O91" s="1291"/>
      <c r="P91" s="518" t="s">
        <v>788</v>
      </c>
      <c r="Q91" s="519" t="s">
        <v>822</v>
      </c>
      <c r="S91" s="523"/>
    </row>
    <row r="92" spans="1:19" ht="40.5" customHeight="1" x14ac:dyDescent="0.25">
      <c r="A92" s="520"/>
      <c r="B92" s="520"/>
      <c r="C92" s="524">
        <v>6050</v>
      </c>
      <c r="D92" s="466" t="s">
        <v>823</v>
      </c>
      <c r="E92" s="508">
        <v>2830000</v>
      </c>
      <c r="F92" s="508">
        <f t="shared" si="25"/>
        <v>500000</v>
      </c>
      <c r="G92" s="508">
        <v>500000</v>
      </c>
      <c r="H92" s="508"/>
      <c r="I92" s="508"/>
      <c r="J92" s="485">
        <v>210000</v>
      </c>
      <c r="K92" s="485"/>
      <c r="L92" s="485"/>
      <c r="M92" s="485"/>
      <c r="N92" s="485"/>
      <c r="O92" s="485"/>
      <c r="P92" s="518" t="s">
        <v>788</v>
      </c>
      <c r="Q92" s="519" t="s">
        <v>824</v>
      </c>
      <c r="S92" s="444"/>
    </row>
    <row r="93" spans="1:19" ht="40.5" customHeight="1" x14ac:dyDescent="0.25">
      <c r="A93" s="480"/>
      <c r="B93" s="480"/>
      <c r="C93" s="481">
        <v>6050</v>
      </c>
      <c r="D93" s="466" t="s">
        <v>825</v>
      </c>
      <c r="E93" s="508">
        <v>4234147.95</v>
      </c>
      <c r="F93" s="508">
        <f t="shared" si="25"/>
        <v>1500000</v>
      </c>
      <c r="G93" s="508">
        <v>1500000</v>
      </c>
      <c r="H93" s="508"/>
      <c r="I93" s="508"/>
      <c r="J93" s="485">
        <v>1000000</v>
      </c>
      <c r="K93" s="485"/>
      <c r="L93" s="485"/>
      <c r="M93" s="485"/>
      <c r="N93" s="485"/>
      <c r="O93" s="485"/>
      <c r="P93" s="518" t="s">
        <v>788</v>
      </c>
      <c r="Q93" s="519" t="s">
        <v>826</v>
      </c>
      <c r="S93" s="444"/>
    </row>
    <row r="94" spans="1:19" ht="40.5" customHeight="1" x14ac:dyDescent="0.25">
      <c r="A94" s="480"/>
      <c r="B94" s="480"/>
      <c r="C94" s="481">
        <v>6050</v>
      </c>
      <c r="D94" s="511" t="s">
        <v>827</v>
      </c>
      <c r="E94" s="508">
        <v>3335000</v>
      </c>
      <c r="F94" s="508">
        <f t="shared" si="25"/>
        <v>200000</v>
      </c>
      <c r="G94" s="508">
        <v>200000</v>
      </c>
      <c r="H94" s="508"/>
      <c r="I94" s="508"/>
      <c r="J94" s="485"/>
      <c r="K94" s="485"/>
      <c r="L94" s="485"/>
      <c r="M94" s="485"/>
      <c r="N94" s="485"/>
      <c r="O94" s="485"/>
      <c r="P94" s="518" t="s">
        <v>788</v>
      </c>
      <c r="Q94" s="519" t="s">
        <v>828</v>
      </c>
      <c r="S94" s="444"/>
    </row>
    <row r="95" spans="1:19" ht="40.5" customHeight="1" x14ac:dyDescent="0.25">
      <c r="A95" s="480"/>
      <c r="B95" s="480"/>
      <c r="C95" s="525">
        <v>6050</v>
      </c>
      <c r="D95" s="526" t="s">
        <v>829</v>
      </c>
      <c r="E95" s="513">
        <f>250000-150000</f>
        <v>100000</v>
      </c>
      <c r="F95" s="513">
        <f t="shared" si="25"/>
        <v>100000</v>
      </c>
      <c r="G95" s="513">
        <f>250000-150000</f>
        <v>100000</v>
      </c>
      <c r="H95" s="513"/>
      <c r="I95" s="513"/>
      <c r="J95" s="485">
        <v>0</v>
      </c>
      <c r="K95" s="486"/>
      <c r="L95" s="485"/>
      <c r="M95" s="485"/>
      <c r="N95" s="485"/>
      <c r="O95" s="485"/>
      <c r="P95" s="518" t="s">
        <v>788</v>
      </c>
      <c r="Q95" s="468"/>
      <c r="S95" s="444"/>
    </row>
    <row r="96" spans="1:19" ht="40.5" customHeight="1" x14ac:dyDescent="0.25">
      <c r="A96" s="480"/>
      <c r="B96" s="480"/>
      <c r="C96" s="527">
        <v>6050</v>
      </c>
      <c r="D96" s="528" t="s">
        <v>830</v>
      </c>
      <c r="E96" s="477">
        <v>3823000</v>
      </c>
      <c r="F96" s="477">
        <f t="shared" si="25"/>
        <v>1000000</v>
      </c>
      <c r="G96" s="477">
        <v>1000000</v>
      </c>
      <c r="H96" s="477"/>
      <c r="I96" s="477"/>
      <c r="J96" s="477"/>
      <c r="K96" s="477"/>
      <c r="L96" s="477"/>
      <c r="M96" s="477"/>
      <c r="N96" s="477"/>
      <c r="O96" s="477"/>
      <c r="P96" s="1288" t="s">
        <v>730</v>
      </c>
      <c r="Q96" s="445" t="s">
        <v>725</v>
      </c>
    </row>
    <row r="97" spans="1:19" ht="40.5" customHeight="1" x14ac:dyDescent="0.25">
      <c r="A97" s="480"/>
      <c r="B97" s="480"/>
      <c r="C97" s="527" t="s">
        <v>831</v>
      </c>
      <c r="D97" s="471" t="s">
        <v>832</v>
      </c>
      <c r="E97" s="477">
        <v>32231876.52</v>
      </c>
      <c r="F97" s="477">
        <f t="shared" si="25"/>
        <v>12630609.129999999</v>
      </c>
      <c r="G97" s="477">
        <v>7085867.0499999998</v>
      </c>
      <c r="H97" s="477"/>
      <c r="I97" s="477">
        <v>5544742.0800000001</v>
      </c>
      <c r="J97" s="477"/>
      <c r="K97" s="477"/>
      <c r="L97" s="477"/>
      <c r="M97" s="477"/>
      <c r="N97" s="477"/>
      <c r="O97" s="477"/>
      <c r="P97" s="1288" t="s">
        <v>730</v>
      </c>
      <c r="Q97" s="445" t="s">
        <v>740</v>
      </c>
      <c r="S97" s="398" t="s">
        <v>820</v>
      </c>
    </row>
    <row r="98" spans="1:19" ht="40.5" customHeight="1" x14ac:dyDescent="0.25">
      <c r="A98" s="480">
        <v>754</v>
      </c>
      <c r="B98" s="480"/>
      <c r="C98" s="486"/>
      <c r="D98" s="500" t="s">
        <v>833</v>
      </c>
      <c r="E98" s="501">
        <f>SUM(E99,E101)</f>
        <v>126000</v>
      </c>
      <c r="F98" s="501">
        <f t="shared" ref="F98:O98" si="26">SUM(F99,F101)</f>
        <v>126000</v>
      </c>
      <c r="G98" s="501">
        <f t="shared" si="26"/>
        <v>126000</v>
      </c>
      <c r="H98" s="501">
        <f t="shared" si="26"/>
        <v>0</v>
      </c>
      <c r="I98" s="501">
        <f t="shared" si="26"/>
        <v>0</v>
      </c>
      <c r="J98" s="501">
        <f t="shared" si="26"/>
        <v>0</v>
      </c>
      <c r="K98" s="501">
        <f t="shared" si="26"/>
        <v>0</v>
      </c>
      <c r="L98" s="501">
        <f t="shared" si="26"/>
        <v>0</v>
      </c>
      <c r="M98" s="501">
        <f t="shared" si="26"/>
        <v>0</v>
      </c>
      <c r="N98" s="501">
        <f t="shared" si="26"/>
        <v>0</v>
      </c>
      <c r="O98" s="501">
        <f t="shared" si="26"/>
        <v>0</v>
      </c>
      <c r="P98" s="518"/>
      <c r="Q98" s="468"/>
      <c r="S98" s="444"/>
    </row>
    <row r="99" spans="1:19" ht="40.5" customHeight="1" x14ac:dyDescent="0.25">
      <c r="A99" s="480"/>
      <c r="B99" s="480">
        <v>75414</v>
      </c>
      <c r="C99" s="486"/>
      <c r="D99" s="500" t="s">
        <v>590</v>
      </c>
      <c r="E99" s="501">
        <f t="shared" ref="E99:O99" si="27">SUM(E100)</f>
        <v>90000</v>
      </c>
      <c r="F99" s="501">
        <f t="shared" si="27"/>
        <v>90000</v>
      </c>
      <c r="G99" s="501">
        <f t="shared" si="27"/>
        <v>90000</v>
      </c>
      <c r="H99" s="501">
        <f t="shared" si="27"/>
        <v>0</v>
      </c>
      <c r="I99" s="501">
        <f t="shared" si="27"/>
        <v>0</v>
      </c>
      <c r="J99" s="501">
        <f t="shared" si="27"/>
        <v>0</v>
      </c>
      <c r="K99" s="501">
        <f t="shared" si="27"/>
        <v>0</v>
      </c>
      <c r="L99" s="501">
        <f t="shared" si="27"/>
        <v>0</v>
      </c>
      <c r="M99" s="501">
        <f t="shared" si="27"/>
        <v>0</v>
      </c>
      <c r="N99" s="501">
        <f t="shared" si="27"/>
        <v>0</v>
      </c>
      <c r="O99" s="501">
        <f t="shared" si="27"/>
        <v>0</v>
      </c>
      <c r="P99" s="518"/>
      <c r="Q99" s="468"/>
      <c r="S99" s="444"/>
    </row>
    <row r="100" spans="1:19" ht="40.5" customHeight="1" x14ac:dyDescent="0.25">
      <c r="A100" s="480"/>
      <c r="B100" s="480"/>
      <c r="C100" s="486">
        <v>6060</v>
      </c>
      <c r="D100" s="503" t="s">
        <v>834</v>
      </c>
      <c r="E100" s="483">
        <v>90000</v>
      </c>
      <c r="F100" s="504">
        <f>SUM(G100:I100)</f>
        <v>90000</v>
      </c>
      <c r="G100" s="483">
        <v>90000</v>
      </c>
      <c r="H100" s="483"/>
      <c r="I100" s="483"/>
      <c r="J100" s="505"/>
      <c r="K100" s="505"/>
      <c r="L100" s="505"/>
      <c r="M100" s="505"/>
      <c r="N100" s="505"/>
      <c r="O100" s="506"/>
      <c r="P100" s="518" t="s">
        <v>835</v>
      </c>
      <c r="Q100" s="468"/>
      <c r="S100" s="444"/>
    </row>
    <row r="101" spans="1:19" ht="40.5" customHeight="1" x14ac:dyDescent="0.25">
      <c r="A101" s="480"/>
      <c r="B101" s="480">
        <v>75416</v>
      </c>
      <c r="C101" s="452"/>
      <c r="D101" s="496" t="s">
        <v>246</v>
      </c>
      <c r="E101" s="490">
        <f>SUM(E102:E103)</f>
        <v>36000</v>
      </c>
      <c r="F101" s="490">
        <f t="shared" ref="F101:O101" si="28">SUM(F102:F103)</f>
        <v>36000</v>
      </c>
      <c r="G101" s="490">
        <f t="shared" si="28"/>
        <v>36000</v>
      </c>
      <c r="H101" s="491">
        <f t="shared" si="28"/>
        <v>0</v>
      </c>
      <c r="I101" s="491">
        <f t="shared" si="28"/>
        <v>0</v>
      </c>
      <c r="J101" s="491">
        <f t="shared" si="28"/>
        <v>0</v>
      </c>
      <c r="K101" s="491">
        <f t="shared" si="28"/>
        <v>0</v>
      </c>
      <c r="L101" s="491">
        <f t="shared" si="28"/>
        <v>0</v>
      </c>
      <c r="M101" s="491">
        <f t="shared" si="28"/>
        <v>0</v>
      </c>
      <c r="N101" s="491">
        <f t="shared" si="28"/>
        <v>0</v>
      </c>
      <c r="O101" s="491">
        <f t="shared" si="28"/>
        <v>0</v>
      </c>
      <c r="P101" s="1288"/>
      <c r="Q101" s="468"/>
      <c r="S101" s="444"/>
    </row>
    <row r="102" spans="1:19" ht="40.5" customHeight="1" x14ac:dyDescent="0.25">
      <c r="A102" s="480"/>
      <c r="B102" s="480"/>
      <c r="C102" s="452">
        <v>6050</v>
      </c>
      <c r="D102" s="466" t="s">
        <v>836</v>
      </c>
      <c r="E102" s="477">
        <v>16000</v>
      </c>
      <c r="F102" s="477">
        <f>SUM(G102:I102)</f>
        <v>16000</v>
      </c>
      <c r="G102" s="477">
        <v>16000</v>
      </c>
      <c r="H102" s="477"/>
      <c r="I102" s="477"/>
      <c r="J102" s="477"/>
      <c r="K102" s="477"/>
      <c r="L102" s="477"/>
      <c r="M102" s="477"/>
      <c r="N102" s="477"/>
      <c r="O102" s="477"/>
      <c r="P102" s="486" t="s">
        <v>837</v>
      </c>
      <c r="Q102" s="468"/>
      <c r="S102" s="444"/>
    </row>
    <row r="103" spans="1:19" ht="40.5" customHeight="1" x14ac:dyDescent="0.25">
      <c r="A103" s="480"/>
      <c r="B103" s="480"/>
      <c r="C103" s="452">
        <v>6060</v>
      </c>
      <c r="D103" s="475" t="s">
        <v>838</v>
      </c>
      <c r="E103" s="477">
        <v>20000</v>
      </c>
      <c r="F103" s="477">
        <f t="shared" ref="F103" si="29">SUM(G103:I103)</f>
        <v>20000</v>
      </c>
      <c r="G103" s="477">
        <v>20000</v>
      </c>
      <c r="H103" s="477"/>
      <c r="I103" s="477"/>
      <c r="J103" s="477"/>
      <c r="K103" s="477"/>
      <c r="L103" s="477"/>
      <c r="M103" s="477"/>
      <c r="N103" s="477"/>
      <c r="O103" s="477"/>
      <c r="P103" s="486" t="s">
        <v>837</v>
      </c>
      <c r="Q103" s="468"/>
      <c r="S103" s="444"/>
    </row>
    <row r="104" spans="1:19" ht="40.5" customHeight="1" x14ac:dyDescent="0.25">
      <c r="A104" s="480">
        <v>801</v>
      </c>
      <c r="B104" s="480"/>
      <c r="C104" s="452"/>
      <c r="D104" s="514" t="s">
        <v>839</v>
      </c>
      <c r="E104" s="492">
        <f>SUM(E105,E114,E109,E111)</f>
        <v>27839998.16</v>
      </c>
      <c r="F104" s="492">
        <f t="shared" ref="F104:O104" si="30">SUM(F105,F114,F109,F111)</f>
        <v>12660000</v>
      </c>
      <c r="G104" s="492">
        <f t="shared" si="30"/>
        <v>12660000</v>
      </c>
      <c r="H104" s="492">
        <f t="shared" si="30"/>
        <v>0</v>
      </c>
      <c r="I104" s="492">
        <f t="shared" si="30"/>
        <v>0</v>
      </c>
      <c r="J104" s="492">
        <f t="shared" si="30"/>
        <v>13500000</v>
      </c>
      <c r="K104" s="492">
        <f t="shared" si="30"/>
        <v>1500000</v>
      </c>
      <c r="L104" s="492">
        <f t="shared" si="30"/>
        <v>0</v>
      </c>
      <c r="M104" s="492">
        <f t="shared" si="30"/>
        <v>0</v>
      </c>
      <c r="N104" s="492">
        <f t="shared" si="30"/>
        <v>0</v>
      </c>
      <c r="O104" s="492">
        <f t="shared" si="30"/>
        <v>0</v>
      </c>
      <c r="P104" s="518"/>
      <c r="S104" s="444"/>
    </row>
    <row r="105" spans="1:19" ht="40.5" customHeight="1" x14ac:dyDescent="0.25">
      <c r="A105" s="480"/>
      <c r="B105" s="480">
        <v>80101</v>
      </c>
      <c r="C105" s="452"/>
      <c r="D105" s="462" t="s">
        <v>313</v>
      </c>
      <c r="E105" s="492">
        <f>SUM(E106:E108)</f>
        <v>20749998.16</v>
      </c>
      <c r="F105" s="492">
        <f t="shared" ref="F105:O105" si="31">SUM(F106:F108)</f>
        <v>5570000</v>
      </c>
      <c r="G105" s="492">
        <f t="shared" si="31"/>
        <v>5570000</v>
      </c>
      <c r="H105" s="492">
        <f t="shared" si="31"/>
        <v>0</v>
      </c>
      <c r="I105" s="492">
        <f t="shared" si="31"/>
        <v>0</v>
      </c>
      <c r="J105" s="492">
        <f t="shared" si="31"/>
        <v>13500000</v>
      </c>
      <c r="K105" s="492">
        <f t="shared" si="31"/>
        <v>1500000</v>
      </c>
      <c r="L105" s="492">
        <f t="shared" si="31"/>
        <v>0</v>
      </c>
      <c r="M105" s="492">
        <f t="shared" si="31"/>
        <v>0</v>
      </c>
      <c r="N105" s="492">
        <f t="shared" si="31"/>
        <v>0</v>
      </c>
      <c r="O105" s="492">
        <f t="shared" si="31"/>
        <v>0</v>
      </c>
      <c r="P105" s="1292"/>
      <c r="S105" s="444"/>
    </row>
    <row r="106" spans="1:19" ht="40.5" customHeight="1" x14ac:dyDescent="0.25">
      <c r="A106" s="480"/>
      <c r="B106" s="480"/>
      <c r="C106" s="481">
        <v>6050</v>
      </c>
      <c r="D106" s="466" t="s">
        <v>840</v>
      </c>
      <c r="E106" s="485">
        <v>16169243.16</v>
      </c>
      <c r="F106" s="485">
        <f>SUM(G106:I106)</f>
        <v>5000000</v>
      </c>
      <c r="G106" s="485">
        <v>5000000</v>
      </c>
      <c r="H106" s="485"/>
      <c r="I106" s="485"/>
      <c r="J106" s="529">
        <v>11000000</v>
      </c>
      <c r="K106" s="529"/>
      <c r="L106" s="529"/>
      <c r="M106" s="529"/>
      <c r="N106" s="530"/>
      <c r="O106" s="485"/>
      <c r="P106" s="518" t="s">
        <v>788</v>
      </c>
      <c r="Q106" s="468" t="s">
        <v>841</v>
      </c>
      <c r="S106" s="444"/>
    </row>
    <row r="107" spans="1:19" ht="40.5" customHeight="1" x14ac:dyDescent="0.25">
      <c r="A107" s="480"/>
      <c r="B107" s="480"/>
      <c r="C107" s="481">
        <v>6050</v>
      </c>
      <c r="D107" s="466" t="s">
        <v>842</v>
      </c>
      <c r="E107" s="485">
        <v>4510755</v>
      </c>
      <c r="F107" s="485">
        <f>SUM(G107:I107)</f>
        <v>500000</v>
      </c>
      <c r="G107" s="485">
        <v>500000</v>
      </c>
      <c r="H107" s="485"/>
      <c r="I107" s="485"/>
      <c r="J107" s="531">
        <v>2500000</v>
      </c>
      <c r="K107" s="531">
        <v>1500000</v>
      </c>
      <c r="L107" s="531"/>
      <c r="M107" s="531"/>
      <c r="N107" s="531"/>
      <c r="O107" s="485"/>
      <c r="P107" s="518" t="s">
        <v>788</v>
      </c>
      <c r="Q107" s="468" t="s">
        <v>811</v>
      </c>
      <c r="S107" s="444"/>
    </row>
    <row r="108" spans="1:19" ht="40.5" customHeight="1" x14ac:dyDescent="0.25">
      <c r="A108" s="480"/>
      <c r="B108" s="1293"/>
      <c r="C108" s="532">
        <v>6050</v>
      </c>
      <c r="D108" s="533" t="s">
        <v>843</v>
      </c>
      <c r="E108" s="534">
        <v>70000</v>
      </c>
      <c r="F108" s="483">
        <f t="shared" ref="F108" si="32">SUM(G108:I108)</f>
        <v>70000</v>
      </c>
      <c r="G108" s="534">
        <v>70000</v>
      </c>
      <c r="H108" s="501"/>
      <c r="I108" s="501"/>
      <c r="J108" s="501"/>
      <c r="K108" s="501"/>
      <c r="L108" s="501"/>
      <c r="M108" s="501"/>
      <c r="N108" s="501"/>
      <c r="O108" s="501"/>
      <c r="P108" s="518" t="s">
        <v>844</v>
      </c>
      <c r="Q108" s="468"/>
      <c r="S108" s="444"/>
    </row>
    <row r="109" spans="1:19" ht="40.5" customHeight="1" x14ac:dyDescent="0.25">
      <c r="A109" s="480"/>
      <c r="B109" s="480">
        <v>80120</v>
      </c>
      <c r="C109" s="486"/>
      <c r="D109" s="500" t="s">
        <v>449</v>
      </c>
      <c r="E109" s="501">
        <f t="shared" ref="E109:O109" si="33">SUM(E110:E110)</f>
        <v>30000</v>
      </c>
      <c r="F109" s="501">
        <f t="shared" si="33"/>
        <v>30000</v>
      </c>
      <c r="G109" s="501">
        <f t="shared" si="33"/>
        <v>30000</v>
      </c>
      <c r="H109" s="501">
        <f t="shared" si="33"/>
        <v>0</v>
      </c>
      <c r="I109" s="501">
        <f t="shared" si="33"/>
        <v>0</v>
      </c>
      <c r="J109" s="501">
        <f t="shared" si="33"/>
        <v>0</v>
      </c>
      <c r="K109" s="501">
        <f t="shared" si="33"/>
        <v>0</v>
      </c>
      <c r="L109" s="501">
        <f t="shared" si="33"/>
        <v>0</v>
      </c>
      <c r="M109" s="501">
        <f t="shared" si="33"/>
        <v>0</v>
      </c>
      <c r="N109" s="501">
        <f t="shared" si="33"/>
        <v>0</v>
      </c>
      <c r="O109" s="501">
        <f t="shared" si="33"/>
        <v>0</v>
      </c>
      <c r="P109" s="518"/>
      <c r="Q109" s="468"/>
      <c r="S109" s="444"/>
    </row>
    <row r="110" spans="1:19" ht="40.5" customHeight="1" x14ac:dyDescent="0.25">
      <c r="A110" s="480"/>
      <c r="B110" s="480"/>
      <c r="C110" s="535">
        <v>6060</v>
      </c>
      <c r="D110" s="536" t="s">
        <v>845</v>
      </c>
      <c r="E110" s="483">
        <v>30000</v>
      </c>
      <c r="F110" s="504">
        <f>SUM(G110:I110)</f>
        <v>30000</v>
      </c>
      <c r="G110" s="483">
        <v>30000</v>
      </c>
      <c r="H110" s="483"/>
      <c r="I110" s="483"/>
      <c r="J110" s="505"/>
      <c r="K110" s="505"/>
      <c r="L110" s="505"/>
      <c r="M110" s="505"/>
      <c r="N110" s="505"/>
      <c r="O110" s="506"/>
      <c r="P110" s="518" t="s">
        <v>846</v>
      </c>
      <c r="Q110" s="468"/>
      <c r="S110" s="444"/>
    </row>
    <row r="111" spans="1:19" ht="40.5" customHeight="1" x14ac:dyDescent="0.25">
      <c r="A111" s="480"/>
      <c r="B111" s="480">
        <v>80134</v>
      </c>
      <c r="C111" s="486"/>
      <c r="D111" s="537" t="s">
        <v>655</v>
      </c>
      <c r="E111" s="501">
        <f>SUM(E112:E113)</f>
        <v>3060000</v>
      </c>
      <c r="F111" s="501">
        <f t="shared" ref="F111:O111" si="34">SUM(F112:F113)</f>
        <v>3060000</v>
      </c>
      <c r="G111" s="501">
        <f t="shared" si="34"/>
        <v>3060000</v>
      </c>
      <c r="H111" s="501">
        <f t="shared" si="34"/>
        <v>0</v>
      </c>
      <c r="I111" s="501">
        <f t="shared" si="34"/>
        <v>0</v>
      </c>
      <c r="J111" s="501">
        <f t="shared" si="34"/>
        <v>0</v>
      </c>
      <c r="K111" s="501">
        <f t="shared" si="34"/>
        <v>0</v>
      </c>
      <c r="L111" s="501">
        <f t="shared" si="34"/>
        <v>0</v>
      </c>
      <c r="M111" s="501">
        <f t="shared" si="34"/>
        <v>0</v>
      </c>
      <c r="N111" s="501">
        <f t="shared" si="34"/>
        <v>0</v>
      </c>
      <c r="O111" s="501">
        <f t="shared" si="34"/>
        <v>0</v>
      </c>
      <c r="P111" s="518"/>
      <c r="Q111" s="468"/>
      <c r="S111" s="444"/>
    </row>
    <row r="112" spans="1:19" ht="49.5" customHeight="1" x14ac:dyDescent="0.25">
      <c r="A112" s="480"/>
      <c r="B112" s="480"/>
      <c r="C112" s="535">
        <v>6050</v>
      </c>
      <c r="D112" s="536" t="s">
        <v>847</v>
      </c>
      <c r="E112" s="538">
        <v>3030000</v>
      </c>
      <c r="F112" s="504">
        <f>SUM(G112:I112)</f>
        <v>3030000</v>
      </c>
      <c r="G112" s="483">
        <v>3030000</v>
      </c>
      <c r="H112" s="483"/>
      <c r="I112" s="483"/>
      <c r="J112" s="505"/>
      <c r="K112" s="505"/>
      <c r="L112" s="505"/>
      <c r="M112" s="505"/>
      <c r="N112" s="505"/>
      <c r="O112" s="506"/>
      <c r="P112" s="518" t="s">
        <v>848</v>
      </c>
      <c r="Q112" s="468"/>
      <c r="S112" s="444"/>
    </row>
    <row r="113" spans="1:19" ht="40.5" customHeight="1" x14ac:dyDescent="0.25">
      <c r="A113" s="480"/>
      <c r="B113" s="480"/>
      <c r="C113" s="535">
        <v>6050</v>
      </c>
      <c r="D113" s="536" t="s">
        <v>849</v>
      </c>
      <c r="E113" s="538">
        <v>30000</v>
      </c>
      <c r="F113" s="504">
        <f>SUM(G113:I113)</f>
        <v>30000</v>
      </c>
      <c r="G113" s="483">
        <v>30000</v>
      </c>
      <c r="H113" s="483"/>
      <c r="I113" s="483"/>
      <c r="J113" s="505"/>
      <c r="K113" s="505"/>
      <c r="L113" s="505"/>
      <c r="M113" s="505"/>
      <c r="N113" s="505"/>
      <c r="O113" s="506"/>
      <c r="P113" s="518" t="s">
        <v>848</v>
      </c>
      <c r="Q113" s="468"/>
      <c r="S113" s="444"/>
    </row>
    <row r="114" spans="1:19" ht="40.5" customHeight="1" x14ac:dyDescent="0.25">
      <c r="A114" s="480"/>
      <c r="B114" s="480">
        <v>80195</v>
      </c>
      <c r="C114" s="452"/>
      <c r="D114" s="462" t="s">
        <v>96</v>
      </c>
      <c r="E114" s="492">
        <f>SUM(E115:E119)</f>
        <v>4000000</v>
      </c>
      <c r="F114" s="492">
        <f t="shared" ref="F114:O114" si="35">SUM(F115:F119)</f>
        <v>4000000</v>
      </c>
      <c r="G114" s="492">
        <f t="shared" si="35"/>
        <v>4000000</v>
      </c>
      <c r="H114" s="492">
        <f t="shared" si="35"/>
        <v>0</v>
      </c>
      <c r="I114" s="492">
        <f t="shared" si="35"/>
        <v>0</v>
      </c>
      <c r="J114" s="492">
        <f t="shared" si="35"/>
        <v>0</v>
      </c>
      <c r="K114" s="492">
        <f t="shared" si="35"/>
        <v>0</v>
      </c>
      <c r="L114" s="492">
        <f t="shared" si="35"/>
        <v>0</v>
      </c>
      <c r="M114" s="492">
        <f t="shared" si="35"/>
        <v>0</v>
      </c>
      <c r="N114" s="492">
        <f t="shared" si="35"/>
        <v>0</v>
      </c>
      <c r="O114" s="492">
        <f t="shared" si="35"/>
        <v>0</v>
      </c>
      <c r="P114" s="518"/>
      <c r="Q114" s="468"/>
      <c r="S114" s="444"/>
    </row>
    <row r="115" spans="1:19" ht="40.5" customHeight="1" x14ac:dyDescent="0.25">
      <c r="A115" s="480"/>
      <c r="B115" s="480"/>
      <c r="C115" s="525">
        <v>6050</v>
      </c>
      <c r="D115" s="466" t="s">
        <v>850</v>
      </c>
      <c r="E115" s="483">
        <v>500000</v>
      </c>
      <c r="F115" s="483">
        <f>SUM(G115:I115)</f>
        <v>500000</v>
      </c>
      <c r="G115" s="483">
        <v>500000</v>
      </c>
      <c r="H115" s="483"/>
      <c r="I115" s="483"/>
      <c r="J115" s="539"/>
      <c r="K115" s="539"/>
      <c r="L115" s="539"/>
      <c r="M115" s="539"/>
      <c r="N115" s="540"/>
      <c r="O115" s="541"/>
      <c r="P115" s="1290" t="s">
        <v>788</v>
      </c>
      <c r="Q115" s="468"/>
      <c r="S115" s="444"/>
    </row>
    <row r="116" spans="1:19" ht="40.5" customHeight="1" x14ac:dyDescent="0.25">
      <c r="A116" s="480"/>
      <c r="B116" s="480"/>
      <c r="C116" s="525">
        <v>6050</v>
      </c>
      <c r="D116" s="466" t="s">
        <v>851</v>
      </c>
      <c r="E116" s="483">
        <v>2000000</v>
      </c>
      <c r="F116" s="483">
        <f t="shared" ref="F116:F119" si="36">SUM(G116:I116)</f>
        <v>2000000</v>
      </c>
      <c r="G116" s="483">
        <v>2000000</v>
      </c>
      <c r="H116" s="483"/>
      <c r="I116" s="483"/>
      <c r="J116" s="483"/>
      <c r="K116" s="483"/>
      <c r="L116" s="483"/>
      <c r="M116" s="483"/>
      <c r="N116" s="483"/>
      <c r="O116" s="485"/>
      <c r="P116" s="518" t="s">
        <v>788</v>
      </c>
      <c r="Q116" s="468"/>
      <c r="S116" s="444"/>
    </row>
    <row r="117" spans="1:19" ht="40.5" customHeight="1" x14ac:dyDescent="0.25">
      <c r="A117" s="480"/>
      <c r="B117" s="480"/>
      <c r="C117" s="525">
        <v>6050</v>
      </c>
      <c r="D117" s="466" t="s">
        <v>852</v>
      </c>
      <c r="E117" s="483">
        <v>500000</v>
      </c>
      <c r="F117" s="483">
        <f t="shared" si="36"/>
        <v>500000</v>
      </c>
      <c r="G117" s="483">
        <v>500000</v>
      </c>
      <c r="H117" s="483"/>
      <c r="I117" s="483"/>
      <c r="J117" s="483"/>
      <c r="K117" s="483"/>
      <c r="L117" s="483"/>
      <c r="M117" s="483"/>
      <c r="N117" s="483"/>
      <c r="O117" s="541"/>
      <c r="P117" s="1290" t="s">
        <v>788</v>
      </c>
      <c r="Q117" s="468"/>
      <c r="S117" s="444"/>
    </row>
    <row r="118" spans="1:19" ht="40.5" customHeight="1" x14ac:dyDescent="0.25">
      <c r="A118" s="480"/>
      <c r="B118" s="480"/>
      <c r="C118" s="542">
        <v>6050</v>
      </c>
      <c r="D118" s="466" t="s">
        <v>853</v>
      </c>
      <c r="E118" s="543">
        <v>500000</v>
      </c>
      <c r="F118" s="483">
        <f t="shared" si="36"/>
        <v>500000</v>
      </c>
      <c r="G118" s="543">
        <v>500000</v>
      </c>
      <c r="H118" s="543"/>
      <c r="I118" s="543"/>
      <c r="J118" s="483"/>
      <c r="K118" s="483"/>
      <c r="L118" s="483"/>
      <c r="M118" s="483"/>
      <c r="N118" s="483"/>
      <c r="O118" s="541"/>
      <c r="P118" s="1290" t="s">
        <v>788</v>
      </c>
      <c r="Q118" s="468"/>
      <c r="S118" s="444"/>
    </row>
    <row r="119" spans="1:19" ht="40.5" customHeight="1" x14ac:dyDescent="0.25">
      <c r="A119" s="480"/>
      <c r="B119" s="480"/>
      <c r="C119" s="542">
        <v>6050</v>
      </c>
      <c r="D119" s="482" t="s">
        <v>854</v>
      </c>
      <c r="E119" s="543">
        <v>500000</v>
      </c>
      <c r="F119" s="483">
        <f t="shared" si="36"/>
        <v>500000</v>
      </c>
      <c r="G119" s="543">
        <v>500000</v>
      </c>
      <c r="H119" s="543"/>
      <c r="I119" s="543"/>
      <c r="J119" s="483"/>
      <c r="K119" s="483"/>
      <c r="L119" s="483"/>
      <c r="M119" s="483"/>
      <c r="N119" s="483"/>
      <c r="O119" s="541"/>
      <c r="P119" s="1290" t="s">
        <v>788</v>
      </c>
      <c r="Q119" s="468"/>
      <c r="S119" s="444"/>
    </row>
    <row r="120" spans="1:19" ht="40.5" customHeight="1" x14ac:dyDescent="0.25">
      <c r="A120" s="480">
        <v>852</v>
      </c>
      <c r="B120" s="480"/>
      <c r="C120" s="452"/>
      <c r="D120" s="496" t="s">
        <v>855</v>
      </c>
      <c r="E120" s="490">
        <f>SUM(E129,E121)</f>
        <v>782392</v>
      </c>
      <c r="F120" s="490">
        <f t="shared" ref="F120:O120" si="37">SUM(F129,F121)</f>
        <v>782392</v>
      </c>
      <c r="G120" s="490">
        <f t="shared" si="37"/>
        <v>782392</v>
      </c>
      <c r="H120" s="491">
        <f t="shared" si="37"/>
        <v>0</v>
      </c>
      <c r="I120" s="491">
        <f t="shared" si="37"/>
        <v>0</v>
      </c>
      <c r="J120" s="491">
        <f t="shared" si="37"/>
        <v>0</v>
      </c>
      <c r="K120" s="491">
        <f t="shared" si="37"/>
        <v>0</v>
      </c>
      <c r="L120" s="491">
        <f t="shared" si="37"/>
        <v>0</v>
      </c>
      <c r="M120" s="491">
        <f t="shared" si="37"/>
        <v>0</v>
      </c>
      <c r="N120" s="491">
        <f t="shared" si="37"/>
        <v>0</v>
      </c>
      <c r="O120" s="491">
        <f t="shared" si="37"/>
        <v>0</v>
      </c>
      <c r="P120" s="1294"/>
      <c r="Q120" s="468"/>
      <c r="S120" s="444"/>
    </row>
    <row r="121" spans="1:19" ht="40.5" customHeight="1" x14ac:dyDescent="0.25">
      <c r="A121" s="480"/>
      <c r="B121" s="422">
        <v>85202</v>
      </c>
      <c r="C121" s="422"/>
      <c r="D121" s="514" t="s">
        <v>328</v>
      </c>
      <c r="E121" s="490">
        <f>SUM(E122:E128)</f>
        <v>742360</v>
      </c>
      <c r="F121" s="490">
        <f t="shared" ref="F121:O121" si="38">SUM(F122:F128)</f>
        <v>742360</v>
      </c>
      <c r="G121" s="490">
        <f t="shared" si="38"/>
        <v>742360</v>
      </c>
      <c r="H121" s="491">
        <f t="shared" si="38"/>
        <v>0</v>
      </c>
      <c r="I121" s="491">
        <f t="shared" si="38"/>
        <v>0</v>
      </c>
      <c r="J121" s="491">
        <f t="shared" si="38"/>
        <v>0</v>
      </c>
      <c r="K121" s="491">
        <f t="shared" si="38"/>
        <v>0</v>
      </c>
      <c r="L121" s="491">
        <f t="shared" si="38"/>
        <v>0</v>
      </c>
      <c r="M121" s="491">
        <f t="shared" si="38"/>
        <v>0</v>
      </c>
      <c r="N121" s="491">
        <f t="shared" si="38"/>
        <v>0</v>
      </c>
      <c r="O121" s="491">
        <f t="shared" si="38"/>
        <v>0</v>
      </c>
      <c r="P121" s="1288"/>
      <c r="Q121" s="468"/>
      <c r="S121" s="444"/>
    </row>
    <row r="122" spans="1:19" ht="40.5" customHeight="1" x14ac:dyDescent="0.25">
      <c r="A122" s="480"/>
      <c r="B122" s="480"/>
      <c r="C122" s="452">
        <v>6050</v>
      </c>
      <c r="D122" s="475" t="s">
        <v>856</v>
      </c>
      <c r="E122" s="477">
        <v>484860</v>
      </c>
      <c r="F122" s="477">
        <f t="shared" ref="F122:F128" si="39">SUM(G122:I122)</f>
        <v>484860</v>
      </c>
      <c r="G122" s="477">
        <v>484860</v>
      </c>
      <c r="H122" s="477"/>
      <c r="I122" s="477"/>
      <c r="J122" s="477"/>
      <c r="K122" s="477"/>
      <c r="L122" s="477"/>
      <c r="M122" s="477"/>
      <c r="N122" s="477"/>
      <c r="O122" s="477"/>
      <c r="P122" s="486" t="s">
        <v>857</v>
      </c>
      <c r="Q122" s="468"/>
      <c r="S122" s="444"/>
    </row>
    <row r="123" spans="1:19" ht="40.5" customHeight="1" x14ac:dyDescent="0.25">
      <c r="A123" s="480"/>
      <c r="B123" s="480"/>
      <c r="C123" s="452">
        <v>6060</v>
      </c>
      <c r="D123" s="475" t="s">
        <v>858</v>
      </c>
      <c r="E123" s="477">
        <v>45000</v>
      </c>
      <c r="F123" s="477">
        <f t="shared" si="39"/>
        <v>45000</v>
      </c>
      <c r="G123" s="477">
        <v>45000</v>
      </c>
      <c r="H123" s="477"/>
      <c r="I123" s="477"/>
      <c r="J123" s="477"/>
      <c r="K123" s="477"/>
      <c r="L123" s="477"/>
      <c r="M123" s="477"/>
      <c r="N123" s="477"/>
      <c r="O123" s="477"/>
      <c r="P123" s="486" t="s">
        <v>857</v>
      </c>
      <c r="Q123" s="468"/>
      <c r="S123" s="444"/>
    </row>
    <row r="124" spans="1:19" ht="40.5" customHeight="1" x14ac:dyDescent="0.25">
      <c r="A124" s="480"/>
      <c r="B124" s="480"/>
      <c r="C124" s="452">
        <v>6060</v>
      </c>
      <c r="D124" s="475" t="s">
        <v>859</v>
      </c>
      <c r="E124" s="477">
        <v>13500</v>
      </c>
      <c r="F124" s="477">
        <f t="shared" si="39"/>
        <v>13500</v>
      </c>
      <c r="G124" s="477">
        <v>13500</v>
      </c>
      <c r="H124" s="477"/>
      <c r="I124" s="477"/>
      <c r="J124" s="477"/>
      <c r="K124" s="477"/>
      <c r="L124" s="477"/>
      <c r="M124" s="477"/>
      <c r="N124" s="477"/>
      <c r="O124" s="477"/>
      <c r="P124" s="486" t="s">
        <v>857</v>
      </c>
      <c r="Q124" s="468"/>
      <c r="S124" s="444"/>
    </row>
    <row r="125" spans="1:19" ht="40.5" customHeight="1" x14ac:dyDescent="0.25">
      <c r="A125" s="480"/>
      <c r="B125" s="480"/>
      <c r="C125" s="452">
        <v>6060</v>
      </c>
      <c r="D125" s="475" t="s">
        <v>860</v>
      </c>
      <c r="E125" s="477">
        <v>10000</v>
      </c>
      <c r="F125" s="477">
        <f t="shared" si="39"/>
        <v>10000</v>
      </c>
      <c r="G125" s="477">
        <v>10000</v>
      </c>
      <c r="H125" s="477"/>
      <c r="I125" s="477"/>
      <c r="J125" s="477"/>
      <c r="K125" s="477"/>
      <c r="L125" s="477"/>
      <c r="M125" s="477"/>
      <c r="N125" s="477"/>
      <c r="O125" s="477"/>
      <c r="P125" s="486" t="s">
        <v>857</v>
      </c>
      <c r="Q125" s="468"/>
      <c r="S125" s="444"/>
    </row>
    <row r="126" spans="1:19" ht="40.5" customHeight="1" x14ac:dyDescent="0.25">
      <c r="A126" s="480"/>
      <c r="B126" s="480"/>
      <c r="C126" s="452">
        <v>6060</v>
      </c>
      <c r="D126" s="475" t="s">
        <v>861</v>
      </c>
      <c r="E126" s="477">
        <v>19000</v>
      </c>
      <c r="F126" s="477">
        <f t="shared" si="39"/>
        <v>19000</v>
      </c>
      <c r="G126" s="477">
        <v>19000</v>
      </c>
      <c r="H126" s="477"/>
      <c r="I126" s="477"/>
      <c r="J126" s="477"/>
      <c r="K126" s="477"/>
      <c r="L126" s="477"/>
      <c r="M126" s="477"/>
      <c r="N126" s="477"/>
      <c r="O126" s="477"/>
      <c r="P126" s="486" t="s">
        <v>857</v>
      </c>
      <c r="Q126" s="468"/>
      <c r="S126" s="444"/>
    </row>
    <row r="127" spans="1:19" ht="40.5" customHeight="1" x14ac:dyDescent="0.25">
      <c r="A127" s="480"/>
      <c r="B127" s="480"/>
      <c r="C127" s="452">
        <v>6060</v>
      </c>
      <c r="D127" s="466" t="s">
        <v>862</v>
      </c>
      <c r="E127" s="477">
        <v>70000</v>
      </c>
      <c r="F127" s="477">
        <f t="shared" si="39"/>
        <v>70000</v>
      </c>
      <c r="G127" s="477">
        <v>70000</v>
      </c>
      <c r="H127" s="477"/>
      <c r="I127" s="477"/>
      <c r="J127" s="477"/>
      <c r="K127" s="477"/>
      <c r="L127" s="477"/>
      <c r="M127" s="477"/>
      <c r="N127" s="477"/>
      <c r="O127" s="477"/>
      <c r="P127" s="486" t="s">
        <v>863</v>
      </c>
      <c r="Q127" s="468"/>
      <c r="S127" s="444"/>
    </row>
    <row r="128" spans="1:19" ht="40.5" customHeight="1" x14ac:dyDescent="0.25">
      <c r="A128" s="480"/>
      <c r="B128" s="480"/>
      <c r="C128" s="452">
        <v>6050</v>
      </c>
      <c r="D128" s="466" t="s">
        <v>864</v>
      </c>
      <c r="E128" s="477">
        <v>100000</v>
      </c>
      <c r="F128" s="477">
        <f t="shared" si="39"/>
        <v>100000</v>
      </c>
      <c r="G128" s="477">
        <v>100000</v>
      </c>
      <c r="H128" s="477"/>
      <c r="I128" s="477"/>
      <c r="J128" s="477"/>
      <c r="K128" s="477"/>
      <c r="L128" s="477"/>
      <c r="M128" s="477"/>
      <c r="N128" s="477"/>
      <c r="O128" s="477"/>
      <c r="P128" s="486" t="s">
        <v>863</v>
      </c>
      <c r="Q128" s="468"/>
      <c r="S128" s="444"/>
    </row>
    <row r="129" spans="1:19" ht="40.5" customHeight="1" x14ac:dyDescent="0.25">
      <c r="A129" s="480"/>
      <c r="B129" s="480">
        <v>85219</v>
      </c>
      <c r="C129" s="452"/>
      <c r="D129" s="496" t="s">
        <v>357</v>
      </c>
      <c r="E129" s="490">
        <f t="shared" ref="E129:O129" si="40">SUM(E130:E130)</f>
        <v>40032</v>
      </c>
      <c r="F129" s="490">
        <f t="shared" si="40"/>
        <v>40032</v>
      </c>
      <c r="G129" s="490">
        <f t="shared" si="40"/>
        <v>40032</v>
      </c>
      <c r="H129" s="491">
        <f t="shared" si="40"/>
        <v>0</v>
      </c>
      <c r="I129" s="491">
        <f t="shared" si="40"/>
        <v>0</v>
      </c>
      <c r="J129" s="491">
        <f t="shared" si="40"/>
        <v>0</v>
      </c>
      <c r="K129" s="491">
        <f t="shared" si="40"/>
        <v>0</v>
      </c>
      <c r="L129" s="491">
        <f t="shared" si="40"/>
        <v>0</v>
      </c>
      <c r="M129" s="491">
        <f t="shared" si="40"/>
        <v>0</v>
      </c>
      <c r="N129" s="491">
        <f t="shared" si="40"/>
        <v>0</v>
      </c>
      <c r="O129" s="491">
        <f t="shared" si="40"/>
        <v>0</v>
      </c>
      <c r="P129" s="1294"/>
      <c r="Q129" s="468"/>
      <c r="S129" s="444"/>
    </row>
    <row r="130" spans="1:19" ht="40.5" customHeight="1" x14ac:dyDescent="0.25">
      <c r="A130" s="480"/>
      <c r="B130" s="480"/>
      <c r="C130" s="452">
        <v>6060</v>
      </c>
      <c r="D130" s="475" t="s">
        <v>865</v>
      </c>
      <c r="E130" s="477">
        <v>40032</v>
      </c>
      <c r="F130" s="477">
        <f>SUM(G130:I130)</f>
        <v>40032</v>
      </c>
      <c r="G130" s="477">
        <v>40032</v>
      </c>
      <c r="H130" s="477"/>
      <c r="I130" s="477"/>
      <c r="J130" s="477"/>
      <c r="K130" s="477"/>
      <c r="L130" s="477"/>
      <c r="M130" s="477"/>
      <c r="N130" s="477"/>
      <c r="O130" s="477"/>
      <c r="P130" s="486" t="s">
        <v>866</v>
      </c>
      <c r="Q130" s="468"/>
      <c r="S130" s="444"/>
    </row>
    <row r="131" spans="1:19" ht="40.5" customHeight="1" x14ac:dyDescent="0.25">
      <c r="A131" s="480">
        <v>853</v>
      </c>
      <c r="B131" s="452"/>
      <c r="C131" s="452"/>
      <c r="D131" s="514" t="s">
        <v>867</v>
      </c>
      <c r="E131" s="492">
        <f>SUM(E132)</f>
        <v>120500</v>
      </c>
      <c r="F131" s="492">
        <f t="shared" ref="F131:O131" si="41">SUM(F132)</f>
        <v>120500</v>
      </c>
      <c r="G131" s="492">
        <f t="shared" si="41"/>
        <v>120500</v>
      </c>
      <c r="H131" s="492">
        <f t="shared" si="41"/>
        <v>0</v>
      </c>
      <c r="I131" s="492">
        <f t="shared" si="41"/>
        <v>0</v>
      </c>
      <c r="J131" s="492">
        <f t="shared" si="41"/>
        <v>0</v>
      </c>
      <c r="K131" s="492">
        <f t="shared" si="41"/>
        <v>0</v>
      </c>
      <c r="L131" s="492">
        <f t="shared" si="41"/>
        <v>0</v>
      </c>
      <c r="M131" s="492">
        <f t="shared" si="41"/>
        <v>0</v>
      </c>
      <c r="N131" s="492">
        <f t="shared" si="41"/>
        <v>0</v>
      </c>
      <c r="O131" s="492">
        <f t="shared" si="41"/>
        <v>0</v>
      </c>
      <c r="P131" s="518"/>
      <c r="Q131" s="468"/>
      <c r="S131" s="444"/>
    </row>
    <row r="132" spans="1:19" ht="40.5" customHeight="1" x14ac:dyDescent="0.25">
      <c r="A132" s="480"/>
      <c r="B132" s="480">
        <v>85395</v>
      </c>
      <c r="C132" s="480"/>
      <c r="D132" s="514" t="s">
        <v>367</v>
      </c>
      <c r="E132" s="492">
        <f>SUM(E133:E134)</f>
        <v>120500</v>
      </c>
      <c r="F132" s="492">
        <f t="shared" ref="F132:M132" si="42">SUM(F133:F134)</f>
        <v>120500</v>
      </c>
      <c r="G132" s="492">
        <f t="shared" si="42"/>
        <v>120500</v>
      </c>
      <c r="H132" s="492">
        <f t="shared" si="42"/>
        <v>0</v>
      </c>
      <c r="I132" s="492">
        <f t="shared" si="42"/>
        <v>0</v>
      </c>
      <c r="J132" s="492">
        <f t="shared" si="42"/>
        <v>0</v>
      </c>
      <c r="K132" s="492">
        <f t="shared" si="42"/>
        <v>0</v>
      </c>
      <c r="L132" s="492">
        <f t="shared" si="42"/>
        <v>0</v>
      </c>
      <c r="M132" s="492">
        <f t="shared" si="42"/>
        <v>0</v>
      </c>
      <c r="N132" s="492">
        <f>SUM(N133:N134)</f>
        <v>0</v>
      </c>
      <c r="O132" s="492">
        <f t="shared" ref="O132" si="43">SUM(O133:O134)</f>
        <v>0</v>
      </c>
      <c r="P132" s="465"/>
      <c r="Q132" s="468"/>
      <c r="S132" s="444"/>
    </row>
    <row r="133" spans="1:19" ht="40.5" customHeight="1" x14ac:dyDescent="0.25">
      <c r="A133" s="480"/>
      <c r="B133" s="452"/>
      <c r="C133" s="544">
        <v>6050</v>
      </c>
      <c r="D133" s="545" t="s">
        <v>868</v>
      </c>
      <c r="E133" s="546">
        <v>100000</v>
      </c>
      <c r="F133" s="546">
        <f>SUM(G133:I133)</f>
        <v>100000</v>
      </c>
      <c r="G133" s="546">
        <v>100000</v>
      </c>
      <c r="H133" s="546"/>
      <c r="I133" s="546"/>
      <c r="J133" s="546"/>
      <c r="K133" s="546"/>
      <c r="L133" s="546"/>
      <c r="M133" s="546"/>
      <c r="N133" s="546"/>
      <c r="O133" s="546"/>
      <c r="P133" s="1295" t="s">
        <v>788</v>
      </c>
      <c r="Q133" s="468"/>
      <c r="S133" s="444"/>
    </row>
    <row r="134" spans="1:19" ht="40.5" customHeight="1" x14ac:dyDescent="0.25">
      <c r="A134" s="547"/>
      <c r="B134" s="544"/>
      <c r="C134" s="452">
        <v>6060</v>
      </c>
      <c r="D134" s="475" t="s">
        <v>869</v>
      </c>
      <c r="E134" s="477">
        <v>20500</v>
      </c>
      <c r="F134" s="477">
        <f>SUM(G134:I134)</f>
        <v>20500</v>
      </c>
      <c r="G134" s="477">
        <v>20500</v>
      </c>
      <c r="H134" s="477"/>
      <c r="I134" s="477"/>
      <c r="J134" s="477"/>
      <c r="K134" s="477"/>
      <c r="L134" s="477"/>
      <c r="M134" s="477"/>
      <c r="N134" s="477"/>
      <c r="O134" s="477"/>
      <c r="P134" s="486" t="s">
        <v>870</v>
      </c>
      <c r="Q134" s="468"/>
      <c r="S134" s="444"/>
    </row>
    <row r="135" spans="1:19" ht="40.5" customHeight="1" x14ac:dyDescent="0.25">
      <c r="A135" s="480">
        <v>854</v>
      </c>
      <c r="B135" s="480"/>
      <c r="C135" s="525"/>
      <c r="D135" s="462" t="s">
        <v>871</v>
      </c>
      <c r="E135" s="501">
        <f>SUM(E136,E142)</f>
        <v>26543943.48</v>
      </c>
      <c r="F135" s="501">
        <f t="shared" ref="F135:O135" si="44">SUM(F136,F142)</f>
        <v>13217000</v>
      </c>
      <c r="G135" s="501">
        <f t="shared" si="44"/>
        <v>6174910.5499999998</v>
      </c>
      <c r="H135" s="501">
        <f t="shared" si="44"/>
        <v>1056313.42</v>
      </c>
      <c r="I135" s="501">
        <f t="shared" si="44"/>
        <v>5985776.0300000003</v>
      </c>
      <c r="J135" s="501">
        <f t="shared" si="44"/>
        <v>13000000</v>
      </c>
      <c r="K135" s="501">
        <f t="shared" si="44"/>
        <v>0</v>
      </c>
      <c r="L135" s="501">
        <f t="shared" si="44"/>
        <v>0</v>
      </c>
      <c r="M135" s="501">
        <f t="shared" si="44"/>
        <v>0</v>
      </c>
      <c r="N135" s="501">
        <f t="shared" si="44"/>
        <v>0</v>
      </c>
      <c r="O135" s="501">
        <f t="shared" si="44"/>
        <v>0</v>
      </c>
      <c r="P135" s="518"/>
      <c r="Q135" s="519"/>
      <c r="S135" s="444"/>
    </row>
    <row r="136" spans="1:19" ht="40.5" customHeight="1" x14ac:dyDescent="0.25">
      <c r="A136" s="480"/>
      <c r="B136" s="480">
        <v>85410</v>
      </c>
      <c r="C136" s="525"/>
      <c r="D136" s="462" t="s">
        <v>488</v>
      </c>
      <c r="E136" s="501">
        <f>SUM(E137:E141)</f>
        <v>25377000</v>
      </c>
      <c r="F136" s="501">
        <f t="shared" ref="F136:O136" si="45">SUM(F137:F141)</f>
        <v>12167000</v>
      </c>
      <c r="G136" s="501">
        <f t="shared" si="45"/>
        <v>5124910.55</v>
      </c>
      <c r="H136" s="501">
        <f t="shared" si="45"/>
        <v>1056313.42</v>
      </c>
      <c r="I136" s="501">
        <f t="shared" si="45"/>
        <v>5985776.0300000003</v>
      </c>
      <c r="J136" s="501">
        <f t="shared" si="45"/>
        <v>13000000</v>
      </c>
      <c r="K136" s="501">
        <f t="shared" si="45"/>
        <v>0</v>
      </c>
      <c r="L136" s="501">
        <f t="shared" si="45"/>
        <v>0</v>
      </c>
      <c r="M136" s="501">
        <f t="shared" si="45"/>
        <v>0</v>
      </c>
      <c r="N136" s="501">
        <f t="shared" si="45"/>
        <v>0</v>
      </c>
      <c r="O136" s="501">
        <f t="shared" si="45"/>
        <v>0</v>
      </c>
      <c r="P136" s="518"/>
      <c r="Q136" s="519"/>
      <c r="S136" s="444"/>
    </row>
    <row r="137" spans="1:19" ht="40.5" customHeight="1" x14ac:dyDescent="0.25">
      <c r="A137" s="480"/>
      <c r="B137" s="480"/>
      <c r="C137" s="486" t="s">
        <v>872</v>
      </c>
      <c r="D137" s="466" t="s">
        <v>873</v>
      </c>
      <c r="E137" s="483">
        <v>25210000</v>
      </c>
      <c r="F137" s="483">
        <f>SUM(G137:I137)</f>
        <v>12000000</v>
      </c>
      <c r="G137" s="483">
        <v>4957910.55</v>
      </c>
      <c r="H137" s="483">
        <v>1056313.42</v>
      </c>
      <c r="I137" s="483">
        <v>5985776.0300000003</v>
      </c>
      <c r="J137" s="485">
        <v>13000000</v>
      </c>
      <c r="K137" s="518"/>
      <c r="L137" s="501"/>
      <c r="M137" s="501"/>
      <c r="N137" s="501"/>
      <c r="O137" s="501"/>
      <c r="P137" s="518" t="s">
        <v>788</v>
      </c>
      <c r="Q137" s="519" t="s">
        <v>874</v>
      </c>
      <c r="S137" s="444" t="s">
        <v>875</v>
      </c>
    </row>
    <row r="138" spans="1:19" ht="40.5" customHeight="1" x14ac:dyDescent="0.25">
      <c r="A138" s="480"/>
      <c r="B138" s="480"/>
      <c r="C138" s="452">
        <v>6050</v>
      </c>
      <c r="D138" s="548" t="s">
        <v>876</v>
      </c>
      <c r="E138" s="485">
        <v>100000</v>
      </c>
      <c r="F138" s="485">
        <f>SUM(G138:I138)</f>
        <v>100000</v>
      </c>
      <c r="G138" s="485">
        <v>100000</v>
      </c>
      <c r="H138" s="485"/>
      <c r="I138" s="485"/>
      <c r="J138" s="485"/>
      <c r="K138" s="485"/>
      <c r="L138" s="485"/>
      <c r="M138" s="485"/>
      <c r="N138" s="485"/>
      <c r="O138" s="485"/>
      <c r="P138" s="518" t="s">
        <v>788</v>
      </c>
      <c r="Q138" s="519"/>
      <c r="S138" s="444"/>
    </row>
    <row r="139" spans="1:19" ht="40.5" customHeight="1" x14ac:dyDescent="0.25">
      <c r="A139" s="480"/>
      <c r="B139" s="480"/>
      <c r="C139" s="535">
        <v>6060</v>
      </c>
      <c r="D139" s="549" t="s">
        <v>877</v>
      </c>
      <c r="E139" s="538">
        <v>20000</v>
      </c>
      <c r="F139" s="504">
        <f t="shared" ref="F139:F141" si="46">SUM(G139:I139)</f>
        <v>20000</v>
      </c>
      <c r="G139" s="538">
        <v>20000</v>
      </c>
      <c r="H139" s="483"/>
      <c r="I139" s="483"/>
      <c r="J139" s="505"/>
      <c r="K139" s="505"/>
      <c r="L139" s="505"/>
      <c r="M139" s="505"/>
      <c r="N139" s="505"/>
      <c r="O139" s="506"/>
      <c r="P139" s="518" t="s">
        <v>878</v>
      </c>
      <c r="Q139" s="519"/>
      <c r="S139" s="444"/>
    </row>
    <row r="140" spans="1:19" ht="40.5" customHeight="1" x14ac:dyDescent="0.25">
      <c r="A140" s="480"/>
      <c r="B140" s="480"/>
      <c r="C140" s="535">
        <v>6060</v>
      </c>
      <c r="D140" s="549" t="s">
        <v>879</v>
      </c>
      <c r="E140" s="538">
        <v>25000</v>
      </c>
      <c r="F140" s="504">
        <f t="shared" si="46"/>
        <v>25000</v>
      </c>
      <c r="G140" s="538">
        <v>25000</v>
      </c>
      <c r="H140" s="483"/>
      <c r="I140" s="483"/>
      <c r="J140" s="505"/>
      <c r="K140" s="505"/>
      <c r="L140" s="505"/>
      <c r="M140" s="505"/>
      <c r="N140" s="505"/>
      <c r="O140" s="506"/>
      <c r="P140" s="518" t="s">
        <v>878</v>
      </c>
      <c r="Q140" s="519"/>
      <c r="S140" s="444"/>
    </row>
    <row r="141" spans="1:19" ht="40.5" customHeight="1" x14ac:dyDescent="0.25">
      <c r="A141" s="480"/>
      <c r="B141" s="480"/>
      <c r="C141" s="535">
        <v>6060</v>
      </c>
      <c r="D141" s="549" t="s">
        <v>880</v>
      </c>
      <c r="E141" s="538">
        <v>22000</v>
      </c>
      <c r="F141" s="504">
        <f t="shared" si="46"/>
        <v>22000</v>
      </c>
      <c r="G141" s="538">
        <v>22000</v>
      </c>
      <c r="H141" s="483"/>
      <c r="I141" s="483"/>
      <c r="J141" s="505"/>
      <c r="K141" s="505"/>
      <c r="L141" s="505"/>
      <c r="M141" s="505"/>
      <c r="N141" s="505"/>
      <c r="O141" s="506"/>
      <c r="P141" s="518" t="s">
        <v>878</v>
      </c>
      <c r="Q141" s="519"/>
      <c r="S141" s="444"/>
    </row>
    <row r="142" spans="1:19" ht="40.5" customHeight="1" x14ac:dyDescent="0.25">
      <c r="A142" s="480"/>
      <c r="B142" s="480">
        <v>85420</v>
      </c>
      <c r="C142" s="486"/>
      <c r="D142" s="500" t="s">
        <v>492</v>
      </c>
      <c r="E142" s="501">
        <f>SUM(E143:E148)</f>
        <v>1166943.48</v>
      </c>
      <c r="F142" s="501">
        <f t="shared" ref="F142:O142" si="47">SUM(F143:F148)</f>
        <v>1050000</v>
      </c>
      <c r="G142" s="501">
        <f t="shared" si="47"/>
        <v>1050000</v>
      </c>
      <c r="H142" s="501">
        <f t="shared" si="47"/>
        <v>0</v>
      </c>
      <c r="I142" s="501">
        <f t="shared" si="47"/>
        <v>0</v>
      </c>
      <c r="J142" s="501">
        <f t="shared" si="47"/>
        <v>0</v>
      </c>
      <c r="K142" s="501">
        <f t="shared" si="47"/>
        <v>0</v>
      </c>
      <c r="L142" s="501">
        <f t="shared" si="47"/>
        <v>0</v>
      </c>
      <c r="M142" s="501">
        <f t="shared" si="47"/>
        <v>0</v>
      </c>
      <c r="N142" s="501">
        <f t="shared" si="47"/>
        <v>0</v>
      </c>
      <c r="O142" s="501">
        <f t="shared" si="47"/>
        <v>0</v>
      </c>
      <c r="P142" s="518"/>
      <c r="Q142" s="519"/>
      <c r="S142" s="444"/>
    </row>
    <row r="143" spans="1:19" ht="40.5" customHeight="1" x14ac:dyDescent="0.25">
      <c r="A143" s="480"/>
      <c r="B143" s="480"/>
      <c r="C143" s="535">
        <v>6050</v>
      </c>
      <c r="D143" s="536" t="s">
        <v>881</v>
      </c>
      <c r="E143" s="538">
        <v>200000</v>
      </c>
      <c r="F143" s="504">
        <f>SUM(G143:I143)</f>
        <v>200000</v>
      </c>
      <c r="G143" s="538">
        <v>200000</v>
      </c>
      <c r="H143" s="483"/>
      <c r="I143" s="483"/>
      <c r="J143" s="505"/>
      <c r="K143" s="505"/>
      <c r="L143" s="505"/>
      <c r="M143" s="505"/>
      <c r="N143" s="505"/>
      <c r="O143" s="506"/>
      <c r="P143" s="518" t="s">
        <v>848</v>
      </c>
      <c r="Q143" s="519"/>
      <c r="S143" s="444"/>
    </row>
    <row r="144" spans="1:19" ht="40.5" customHeight="1" x14ac:dyDescent="0.25">
      <c r="A144" s="480"/>
      <c r="B144" s="480"/>
      <c r="C144" s="535">
        <v>6050</v>
      </c>
      <c r="D144" s="536" t="s">
        <v>882</v>
      </c>
      <c r="E144" s="538">
        <v>70000</v>
      </c>
      <c r="F144" s="504">
        <f t="shared" ref="F144:F147" si="48">SUM(G144:I144)</f>
        <v>70000</v>
      </c>
      <c r="G144" s="538">
        <v>70000</v>
      </c>
      <c r="H144" s="483"/>
      <c r="I144" s="483"/>
      <c r="J144" s="505"/>
      <c r="K144" s="505"/>
      <c r="L144" s="505"/>
      <c r="M144" s="505"/>
      <c r="N144" s="505"/>
      <c r="O144" s="506"/>
      <c r="P144" s="518" t="s">
        <v>848</v>
      </c>
      <c r="Q144" s="519"/>
      <c r="S144" s="444"/>
    </row>
    <row r="145" spans="1:19" ht="40.5" customHeight="1" x14ac:dyDescent="0.25">
      <c r="A145" s="480"/>
      <c r="B145" s="480"/>
      <c r="C145" s="535">
        <v>6050</v>
      </c>
      <c r="D145" s="536" t="s">
        <v>883</v>
      </c>
      <c r="E145" s="538">
        <v>260000</v>
      </c>
      <c r="F145" s="504">
        <f t="shared" si="48"/>
        <v>260000</v>
      </c>
      <c r="G145" s="538">
        <v>260000</v>
      </c>
      <c r="H145" s="483"/>
      <c r="I145" s="483"/>
      <c r="J145" s="505"/>
      <c r="K145" s="505"/>
      <c r="L145" s="505"/>
      <c r="M145" s="505"/>
      <c r="N145" s="505"/>
      <c r="O145" s="506"/>
      <c r="P145" s="518" t="s">
        <v>848</v>
      </c>
      <c r="Q145" s="519"/>
      <c r="S145" s="444"/>
    </row>
    <row r="146" spans="1:19" ht="40.5" customHeight="1" x14ac:dyDescent="0.25">
      <c r="A146" s="480"/>
      <c r="B146" s="480"/>
      <c r="C146" s="535">
        <v>6050</v>
      </c>
      <c r="D146" s="536" t="s">
        <v>884</v>
      </c>
      <c r="E146" s="538">
        <v>20000</v>
      </c>
      <c r="F146" s="504">
        <f t="shared" si="48"/>
        <v>20000</v>
      </c>
      <c r="G146" s="538">
        <v>20000</v>
      </c>
      <c r="H146" s="483"/>
      <c r="I146" s="483"/>
      <c r="J146" s="505"/>
      <c r="K146" s="505"/>
      <c r="L146" s="505"/>
      <c r="M146" s="505"/>
      <c r="N146" s="505"/>
      <c r="O146" s="506"/>
      <c r="P146" s="518" t="s">
        <v>848</v>
      </c>
      <c r="Q146" s="519"/>
      <c r="S146" s="444"/>
    </row>
    <row r="147" spans="1:19" ht="40.5" customHeight="1" x14ac:dyDescent="0.25">
      <c r="A147" s="480"/>
      <c r="B147" s="480"/>
      <c r="C147" s="535">
        <v>6060</v>
      </c>
      <c r="D147" s="536" t="s">
        <v>885</v>
      </c>
      <c r="E147" s="538">
        <v>250000</v>
      </c>
      <c r="F147" s="504">
        <f t="shared" si="48"/>
        <v>250000</v>
      </c>
      <c r="G147" s="538">
        <v>250000</v>
      </c>
      <c r="H147" s="483"/>
      <c r="I147" s="483"/>
      <c r="J147" s="505"/>
      <c r="K147" s="505"/>
      <c r="L147" s="505"/>
      <c r="M147" s="505"/>
      <c r="N147" s="505"/>
      <c r="O147" s="506"/>
      <c r="P147" s="518" t="s">
        <v>848</v>
      </c>
      <c r="Q147" s="519"/>
      <c r="S147" s="444"/>
    </row>
    <row r="148" spans="1:19" ht="40.5" customHeight="1" x14ac:dyDescent="0.25">
      <c r="A148" s="480"/>
      <c r="B148" s="480"/>
      <c r="C148" s="550">
        <v>6050</v>
      </c>
      <c r="D148" s="466" t="s">
        <v>886</v>
      </c>
      <c r="E148" s="483">
        <v>366943.48</v>
      </c>
      <c r="F148" s="483">
        <f>SUM(G148:I148)</f>
        <v>250000</v>
      </c>
      <c r="G148" s="483">
        <v>250000</v>
      </c>
      <c r="H148" s="483"/>
      <c r="I148" s="483"/>
      <c r="J148" s="483"/>
      <c r="K148" s="483"/>
      <c r="L148" s="483"/>
      <c r="M148" s="483"/>
      <c r="N148" s="483"/>
      <c r="O148" s="485"/>
      <c r="P148" s="518" t="s">
        <v>788</v>
      </c>
      <c r="Q148" s="519" t="s">
        <v>745</v>
      </c>
      <c r="S148" s="444"/>
    </row>
    <row r="149" spans="1:19" ht="40.5" customHeight="1" x14ac:dyDescent="0.25">
      <c r="A149" s="480">
        <v>855</v>
      </c>
      <c r="B149" s="480"/>
      <c r="C149" s="486"/>
      <c r="D149" s="462" t="s">
        <v>61</v>
      </c>
      <c r="E149" s="501">
        <f>SUM(E150)</f>
        <v>4603920</v>
      </c>
      <c r="F149" s="501">
        <f t="shared" ref="F149:O149" si="49">SUM(F150)</f>
        <v>2099000</v>
      </c>
      <c r="G149" s="501">
        <f t="shared" si="49"/>
        <v>2099000</v>
      </c>
      <c r="H149" s="501">
        <f t="shared" si="49"/>
        <v>0</v>
      </c>
      <c r="I149" s="501">
        <f t="shared" si="49"/>
        <v>0</v>
      </c>
      <c r="J149" s="501">
        <f t="shared" si="49"/>
        <v>2500000</v>
      </c>
      <c r="K149" s="501">
        <f t="shared" si="49"/>
        <v>0</v>
      </c>
      <c r="L149" s="501">
        <f t="shared" si="49"/>
        <v>0</v>
      </c>
      <c r="M149" s="501">
        <f t="shared" si="49"/>
        <v>0</v>
      </c>
      <c r="N149" s="501">
        <f t="shared" si="49"/>
        <v>0</v>
      </c>
      <c r="O149" s="501">
        <f t="shared" si="49"/>
        <v>0</v>
      </c>
      <c r="P149" s="465"/>
      <c r="Q149" s="468"/>
      <c r="S149" s="444"/>
    </row>
    <row r="150" spans="1:19" ht="40.5" customHeight="1" x14ac:dyDescent="0.25">
      <c r="A150" s="480"/>
      <c r="B150" s="480">
        <v>85516</v>
      </c>
      <c r="C150" s="486"/>
      <c r="D150" s="462" t="s">
        <v>383</v>
      </c>
      <c r="E150" s="501">
        <f>SUM(E151:E152)</f>
        <v>4603920</v>
      </c>
      <c r="F150" s="501">
        <f t="shared" ref="F150:O150" si="50">SUM(F151:F152)</f>
        <v>2099000</v>
      </c>
      <c r="G150" s="501">
        <f t="shared" si="50"/>
        <v>2099000</v>
      </c>
      <c r="H150" s="501">
        <f t="shared" si="50"/>
        <v>0</v>
      </c>
      <c r="I150" s="501">
        <f t="shared" si="50"/>
        <v>0</v>
      </c>
      <c r="J150" s="501">
        <f t="shared" si="50"/>
        <v>2500000</v>
      </c>
      <c r="K150" s="501">
        <f t="shared" si="50"/>
        <v>0</v>
      </c>
      <c r="L150" s="501">
        <f t="shared" si="50"/>
        <v>0</v>
      </c>
      <c r="M150" s="501">
        <f t="shared" si="50"/>
        <v>0</v>
      </c>
      <c r="N150" s="501">
        <f t="shared" si="50"/>
        <v>0</v>
      </c>
      <c r="O150" s="501">
        <f t="shared" si="50"/>
        <v>0</v>
      </c>
      <c r="P150" s="518"/>
      <c r="Q150" s="468"/>
      <c r="S150" s="444"/>
    </row>
    <row r="151" spans="1:19" ht="40.5" customHeight="1" x14ac:dyDescent="0.25">
      <c r="A151" s="480"/>
      <c r="B151" s="480"/>
      <c r="C151" s="486">
        <v>6050</v>
      </c>
      <c r="D151" s="466" t="s">
        <v>887</v>
      </c>
      <c r="E151" s="483">
        <v>4504920</v>
      </c>
      <c r="F151" s="483">
        <f>SUM(G151:I151)</f>
        <v>2000000</v>
      </c>
      <c r="G151" s="483">
        <v>2000000</v>
      </c>
      <c r="H151" s="483"/>
      <c r="I151" s="483"/>
      <c r="J151" s="483">
        <v>2500000</v>
      </c>
      <c r="K151" s="483"/>
      <c r="L151" s="483"/>
      <c r="M151" s="483"/>
      <c r="N151" s="483"/>
      <c r="O151" s="485"/>
      <c r="P151" s="518" t="s">
        <v>788</v>
      </c>
      <c r="Q151" s="468" t="s">
        <v>731</v>
      </c>
      <c r="S151" s="444"/>
    </row>
    <row r="152" spans="1:19" ht="40.5" customHeight="1" x14ac:dyDescent="0.25">
      <c r="A152" s="480"/>
      <c r="B152" s="480"/>
      <c r="C152" s="452">
        <v>6050</v>
      </c>
      <c r="D152" s="475" t="s">
        <v>888</v>
      </c>
      <c r="E152" s="477">
        <v>99000</v>
      </c>
      <c r="F152" s="477">
        <f>SUM(G152:I152)</f>
        <v>99000</v>
      </c>
      <c r="G152" s="477">
        <v>99000</v>
      </c>
      <c r="H152" s="477"/>
      <c r="I152" s="477"/>
      <c r="J152" s="477"/>
      <c r="K152" s="477"/>
      <c r="L152" s="477"/>
      <c r="M152" s="477"/>
      <c r="N152" s="477"/>
      <c r="O152" s="477"/>
      <c r="P152" s="1288" t="s">
        <v>889</v>
      </c>
      <c r="Q152" s="468"/>
      <c r="S152" s="444"/>
    </row>
    <row r="153" spans="1:19" ht="40.5" customHeight="1" x14ac:dyDescent="0.25">
      <c r="A153" s="480">
        <v>900</v>
      </c>
      <c r="B153" s="480"/>
      <c r="C153" s="452"/>
      <c r="D153" s="462" t="s">
        <v>890</v>
      </c>
      <c r="E153" s="492">
        <f t="shared" ref="E153:O153" si="51">SUM(E165,E173,E169,E154,E156,E161,E167)</f>
        <v>68137626.599999994</v>
      </c>
      <c r="F153" s="492">
        <f t="shared" si="51"/>
        <v>36167782</v>
      </c>
      <c r="G153" s="492">
        <f t="shared" si="51"/>
        <v>4950139</v>
      </c>
      <c r="H153" s="492">
        <f t="shared" si="51"/>
        <v>20563791.449999999</v>
      </c>
      <c r="I153" s="492">
        <f t="shared" si="51"/>
        <v>10653851.550000001</v>
      </c>
      <c r="J153" s="492">
        <f t="shared" si="51"/>
        <v>21499243</v>
      </c>
      <c r="K153" s="492">
        <f t="shared" si="51"/>
        <v>1000000</v>
      </c>
      <c r="L153" s="492">
        <f t="shared" si="51"/>
        <v>1000000</v>
      </c>
      <c r="M153" s="492">
        <f t="shared" si="51"/>
        <v>1000000</v>
      </c>
      <c r="N153" s="492">
        <f t="shared" si="51"/>
        <v>0</v>
      </c>
      <c r="O153" s="492">
        <f t="shared" si="51"/>
        <v>0</v>
      </c>
      <c r="P153" s="486"/>
      <c r="S153" s="444"/>
    </row>
    <row r="154" spans="1:19" ht="40.5" customHeight="1" x14ac:dyDescent="0.25">
      <c r="A154" s="480"/>
      <c r="B154" s="480">
        <v>90002</v>
      </c>
      <c r="C154" s="486"/>
      <c r="D154" s="500" t="s">
        <v>391</v>
      </c>
      <c r="E154" s="501">
        <f>SUM(E155)</f>
        <v>2111133</v>
      </c>
      <c r="F154" s="501">
        <f t="shared" ref="F154:O154" si="52">SUM(F155)</f>
        <v>1500000</v>
      </c>
      <c r="G154" s="501">
        <f t="shared" si="52"/>
        <v>1500000</v>
      </c>
      <c r="H154" s="501">
        <f t="shared" si="52"/>
        <v>0</v>
      </c>
      <c r="I154" s="501">
        <f t="shared" si="52"/>
        <v>0</v>
      </c>
      <c r="J154" s="501">
        <f t="shared" si="52"/>
        <v>0</v>
      </c>
      <c r="K154" s="501">
        <f t="shared" si="52"/>
        <v>0</v>
      </c>
      <c r="L154" s="501">
        <f t="shared" si="52"/>
        <v>0</v>
      </c>
      <c r="M154" s="501">
        <f t="shared" si="52"/>
        <v>0</v>
      </c>
      <c r="N154" s="501">
        <f t="shared" si="52"/>
        <v>0</v>
      </c>
      <c r="O154" s="501">
        <f t="shared" si="52"/>
        <v>0</v>
      </c>
      <c r="P154" s="518"/>
      <c r="S154" s="444"/>
    </row>
    <row r="155" spans="1:19" ht="49.5" customHeight="1" x14ac:dyDescent="0.25">
      <c r="A155" s="480"/>
      <c r="B155" s="480"/>
      <c r="C155" s="486">
        <v>6050</v>
      </c>
      <c r="D155" s="503" t="s">
        <v>891</v>
      </c>
      <c r="E155" s="483">
        <v>2111133</v>
      </c>
      <c r="F155" s="504">
        <f>SUM(G155:I155)</f>
        <v>1500000</v>
      </c>
      <c r="G155" s="483">
        <v>1500000</v>
      </c>
      <c r="H155" s="483"/>
      <c r="I155" s="483"/>
      <c r="J155" s="505"/>
      <c r="K155" s="505"/>
      <c r="L155" s="505"/>
      <c r="M155" s="505"/>
      <c r="N155" s="505"/>
      <c r="O155" s="506"/>
      <c r="P155" s="518" t="s">
        <v>786</v>
      </c>
      <c r="Q155" s="445" t="s">
        <v>745</v>
      </c>
      <c r="S155" s="444"/>
    </row>
    <row r="156" spans="1:19" ht="49.5" customHeight="1" x14ac:dyDescent="0.25">
      <c r="A156" s="480"/>
      <c r="B156" s="480">
        <v>90003</v>
      </c>
      <c r="C156" s="452"/>
      <c r="D156" s="496" t="s">
        <v>636</v>
      </c>
      <c r="E156" s="490">
        <f>SUM(E157:E160)</f>
        <v>108000</v>
      </c>
      <c r="F156" s="490">
        <f t="shared" ref="F156:O156" si="53">SUM(F157:F160)</f>
        <v>108000</v>
      </c>
      <c r="G156" s="490">
        <f t="shared" si="53"/>
        <v>108000</v>
      </c>
      <c r="H156" s="491">
        <f t="shared" si="53"/>
        <v>0</v>
      </c>
      <c r="I156" s="491">
        <f t="shared" si="53"/>
        <v>0</v>
      </c>
      <c r="J156" s="491">
        <f t="shared" si="53"/>
        <v>0</v>
      </c>
      <c r="K156" s="491">
        <f t="shared" si="53"/>
        <v>0</v>
      </c>
      <c r="L156" s="491">
        <f t="shared" si="53"/>
        <v>0</v>
      </c>
      <c r="M156" s="491">
        <f t="shared" si="53"/>
        <v>0</v>
      </c>
      <c r="N156" s="491">
        <f t="shared" si="53"/>
        <v>0</v>
      </c>
      <c r="O156" s="491">
        <f t="shared" si="53"/>
        <v>0</v>
      </c>
      <c r="P156" s="1289"/>
    </row>
    <row r="157" spans="1:19" ht="49.5" customHeight="1" x14ac:dyDescent="0.25">
      <c r="A157" s="480"/>
      <c r="B157" s="480"/>
      <c r="C157" s="452">
        <v>6060</v>
      </c>
      <c r="D157" s="475" t="s">
        <v>892</v>
      </c>
      <c r="E157" s="477">
        <v>12500</v>
      </c>
      <c r="F157" s="477">
        <f>SUM(G157:I157)</f>
        <v>12500</v>
      </c>
      <c r="G157" s="477">
        <v>12500</v>
      </c>
      <c r="H157" s="477"/>
      <c r="I157" s="477"/>
      <c r="J157" s="477"/>
      <c r="K157" s="477"/>
      <c r="L157" s="477"/>
      <c r="M157" s="477"/>
      <c r="N157" s="477"/>
      <c r="O157" s="477"/>
      <c r="P157" s="1288" t="s">
        <v>730</v>
      </c>
    </row>
    <row r="158" spans="1:19" ht="49.5" customHeight="1" x14ac:dyDescent="0.25">
      <c r="A158" s="480"/>
      <c r="B158" s="480"/>
      <c r="C158" s="452">
        <v>6060</v>
      </c>
      <c r="D158" s="475" t="s">
        <v>893</v>
      </c>
      <c r="E158" s="477">
        <v>17500</v>
      </c>
      <c r="F158" s="477">
        <f>SUM(G158:I158)</f>
        <v>17500</v>
      </c>
      <c r="G158" s="477">
        <v>17500</v>
      </c>
      <c r="H158" s="477"/>
      <c r="I158" s="477"/>
      <c r="J158" s="477"/>
      <c r="K158" s="477"/>
      <c r="L158" s="477"/>
      <c r="M158" s="477"/>
      <c r="N158" s="477"/>
      <c r="O158" s="477"/>
      <c r="P158" s="1288" t="s">
        <v>730</v>
      </c>
    </row>
    <row r="159" spans="1:19" ht="49.5" customHeight="1" x14ac:dyDescent="0.25">
      <c r="A159" s="480"/>
      <c r="B159" s="480"/>
      <c r="C159" s="452">
        <v>6060</v>
      </c>
      <c r="D159" s="475" t="s">
        <v>894</v>
      </c>
      <c r="E159" s="477">
        <v>60000</v>
      </c>
      <c r="F159" s="477">
        <f t="shared" ref="F159:F160" si="54">SUM(G159:I159)</f>
        <v>60000</v>
      </c>
      <c r="G159" s="477">
        <v>60000</v>
      </c>
      <c r="H159" s="477"/>
      <c r="I159" s="477"/>
      <c r="J159" s="477"/>
      <c r="K159" s="477"/>
      <c r="L159" s="477"/>
      <c r="M159" s="477"/>
      <c r="N159" s="477"/>
      <c r="O159" s="477"/>
      <c r="P159" s="486" t="s">
        <v>730</v>
      </c>
    </row>
    <row r="160" spans="1:19" ht="49.5" customHeight="1" x14ac:dyDescent="0.25">
      <c r="A160" s="480"/>
      <c r="B160" s="480"/>
      <c r="C160" s="452">
        <v>6060</v>
      </c>
      <c r="D160" s="475" t="s">
        <v>895</v>
      </c>
      <c r="E160" s="477">
        <v>18000</v>
      </c>
      <c r="F160" s="477">
        <f t="shared" si="54"/>
        <v>18000</v>
      </c>
      <c r="G160" s="477">
        <v>18000</v>
      </c>
      <c r="H160" s="477"/>
      <c r="I160" s="477"/>
      <c r="J160" s="477"/>
      <c r="K160" s="477"/>
      <c r="L160" s="477"/>
      <c r="M160" s="477"/>
      <c r="N160" s="477"/>
      <c r="O160" s="477"/>
      <c r="P160" s="486" t="s">
        <v>730</v>
      </c>
    </row>
    <row r="161" spans="1:19" ht="49.5" customHeight="1" x14ac:dyDescent="0.25">
      <c r="A161" s="480"/>
      <c r="B161" s="480">
        <v>90004</v>
      </c>
      <c r="C161" s="452"/>
      <c r="D161" s="496" t="s">
        <v>637</v>
      </c>
      <c r="E161" s="490">
        <f t="shared" ref="E161:O161" si="55">SUM(E162:E164)</f>
        <v>282000</v>
      </c>
      <c r="F161" s="490">
        <f t="shared" si="55"/>
        <v>282000</v>
      </c>
      <c r="G161" s="490">
        <f t="shared" si="55"/>
        <v>282000</v>
      </c>
      <c r="H161" s="491">
        <f t="shared" si="55"/>
        <v>0</v>
      </c>
      <c r="I161" s="491">
        <f t="shared" si="55"/>
        <v>0</v>
      </c>
      <c r="J161" s="490">
        <f t="shared" si="55"/>
        <v>0</v>
      </c>
      <c r="K161" s="491">
        <f t="shared" si="55"/>
        <v>0</v>
      </c>
      <c r="L161" s="491">
        <f t="shared" si="55"/>
        <v>0</v>
      </c>
      <c r="M161" s="491">
        <f t="shared" si="55"/>
        <v>0</v>
      </c>
      <c r="N161" s="491">
        <f t="shared" si="55"/>
        <v>0</v>
      </c>
      <c r="O161" s="491">
        <f t="shared" si="55"/>
        <v>0</v>
      </c>
      <c r="P161" s="1288"/>
    </row>
    <row r="162" spans="1:19" ht="49.5" customHeight="1" x14ac:dyDescent="0.25">
      <c r="A162" s="480"/>
      <c r="B162" s="480"/>
      <c r="C162" s="452">
        <v>6060</v>
      </c>
      <c r="D162" s="475" t="s">
        <v>896</v>
      </c>
      <c r="E162" s="477">
        <v>150000</v>
      </c>
      <c r="F162" s="477">
        <f>SUM(G162:I162)</f>
        <v>150000</v>
      </c>
      <c r="G162" s="477">
        <v>150000</v>
      </c>
      <c r="H162" s="477"/>
      <c r="I162" s="477"/>
      <c r="J162" s="477"/>
      <c r="K162" s="477"/>
      <c r="L162" s="477"/>
      <c r="M162" s="477"/>
      <c r="N162" s="477"/>
      <c r="O162" s="477"/>
      <c r="P162" s="486" t="s">
        <v>730</v>
      </c>
    </row>
    <row r="163" spans="1:19" ht="49.5" customHeight="1" x14ac:dyDescent="0.25">
      <c r="A163" s="480"/>
      <c r="B163" s="480"/>
      <c r="C163" s="452">
        <v>6060</v>
      </c>
      <c r="D163" s="475" t="s">
        <v>897</v>
      </c>
      <c r="E163" s="477">
        <v>62000</v>
      </c>
      <c r="F163" s="477">
        <f t="shared" ref="F163:F164" si="56">SUM(G163:I163)</f>
        <v>62000</v>
      </c>
      <c r="G163" s="477">
        <v>62000</v>
      </c>
      <c r="H163" s="477"/>
      <c r="I163" s="477"/>
      <c r="J163" s="477"/>
      <c r="K163" s="477"/>
      <c r="L163" s="477"/>
      <c r="M163" s="477"/>
      <c r="N163" s="477"/>
      <c r="O163" s="477"/>
      <c r="P163" s="486" t="s">
        <v>730</v>
      </c>
    </row>
    <row r="164" spans="1:19" ht="49.5" customHeight="1" x14ac:dyDescent="0.25">
      <c r="A164" s="480"/>
      <c r="B164" s="480"/>
      <c r="C164" s="452">
        <v>6060</v>
      </c>
      <c r="D164" s="475" t="s">
        <v>898</v>
      </c>
      <c r="E164" s="477">
        <v>70000</v>
      </c>
      <c r="F164" s="477">
        <f t="shared" si="56"/>
        <v>70000</v>
      </c>
      <c r="G164" s="477">
        <v>70000</v>
      </c>
      <c r="H164" s="477"/>
      <c r="I164" s="477"/>
      <c r="J164" s="477"/>
      <c r="K164" s="477"/>
      <c r="L164" s="477"/>
      <c r="M164" s="477"/>
      <c r="N164" s="477"/>
      <c r="O164" s="477"/>
      <c r="P164" s="486" t="s">
        <v>730</v>
      </c>
    </row>
    <row r="165" spans="1:19" ht="40.5" customHeight="1" x14ac:dyDescent="0.25">
      <c r="A165" s="480"/>
      <c r="B165" s="480">
        <v>90005</v>
      </c>
      <c r="C165" s="452"/>
      <c r="D165" s="462" t="s">
        <v>638</v>
      </c>
      <c r="E165" s="492">
        <f>SUM(E166:E166)</f>
        <v>22050000</v>
      </c>
      <c r="F165" s="492">
        <f t="shared" ref="F165:O165" si="57">SUM(F166:F166)</f>
        <v>18855389</v>
      </c>
      <c r="G165" s="492">
        <f t="shared" si="57"/>
        <v>171689</v>
      </c>
      <c r="H165" s="492">
        <f t="shared" si="57"/>
        <v>18683700</v>
      </c>
      <c r="I165" s="492">
        <f t="shared" si="57"/>
        <v>0</v>
      </c>
      <c r="J165" s="492">
        <f t="shared" si="57"/>
        <v>1415300</v>
      </c>
      <c r="K165" s="492">
        <f t="shared" si="57"/>
        <v>0</v>
      </c>
      <c r="L165" s="492">
        <f t="shared" si="57"/>
        <v>0</v>
      </c>
      <c r="M165" s="492">
        <f t="shared" si="57"/>
        <v>0</v>
      </c>
      <c r="N165" s="492">
        <f t="shared" si="57"/>
        <v>0</v>
      </c>
      <c r="O165" s="492">
        <f t="shared" si="57"/>
        <v>0</v>
      </c>
      <c r="P165" s="518"/>
      <c r="S165" s="444"/>
    </row>
    <row r="166" spans="1:19" ht="40.5" customHeight="1" x14ac:dyDescent="0.25">
      <c r="A166" s="480"/>
      <c r="B166" s="480"/>
      <c r="C166" s="486">
        <v>6050</v>
      </c>
      <c r="D166" s="551" t="s">
        <v>899</v>
      </c>
      <c r="E166" s="541">
        <v>22050000</v>
      </c>
      <c r="F166" s="541">
        <f>SUM(G166:I166)</f>
        <v>18855389</v>
      </c>
      <c r="G166" s="541">
        <v>171689</v>
      </c>
      <c r="H166" s="541">
        <v>18683700</v>
      </c>
      <c r="I166" s="541"/>
      <c r="J166" s="552">
        <v>1415300</v>
      </c>
      <c r="K166" s="553"/>
      <c r="L166" s="554"/>
      <c r="M166" s="1296"/>
      <c r="N166" s="555"/>
      <c r="O166" s="556"/>
      <c r="P166" s="518" t="s">
        <v>788</v>
      </c>
      <c r="Q166" s="519" t="s">
        <v>731</v>
      </c>
      <c r="S166" s="444"/>
    </row>
    <row r="167" spans="1:19" ht="40.5" customHeight="1" x14ac:dyDescent="0.25">
      <c r="A167" s="480"/>
      <c r="B167" s="480">
        <v>90013</v>
      </c>
      <c r="C167" s="452"/>
      <c r="D167" s="496" t="s">
        <v>396</v>
      </c>
      <c r="E167" s="490">
        <f t="shared" ref="E167:O167" si="58">SUM(E168:E168)</f>
        <v>170000</v>
      </c>
      <c r="F167" s="490">
        <f t="shared" si="58"/>
        <v>170000</v>
      </c>
      <c r="G167" s="490">
        <f t="shared" si="58"/>
        <v>170000</v>
      </c>
      <c r="H167" s="491">
        <f t="shared" si="58"/>
        <v>0</v>
      </c>
      <c r="I167" s="491">
        <f t="shared" si="58"/>
        <v>0</v>
      </c>
      <c r="J167" s="491">
        <f t="shared" si="58"/>
        <v>0</v>
      </c>
      <c r="K167" s="491">
        <f t="shared" si="58"/>
        <v>0</v>
      </c>
      <c r="L167" s="491">
        <f t="shared" si="58"/>
        <v>0</v>
      </c>
      <c r="M167" s="491">
        <f t="shared" si="58"/>
        <v>0</v>
      </c>
      <c r="N167" s="491">
        <f t="shared" si="58"/>
        <v>0</v>
      </c>
      <c r="O167" s="491">
        <f t="shared" si="58"/>
        <v>0</v>
      </c>
      <c r="P167" s="1289"/>
      <c r="Q167" s="468"/>
      <c r="S167" s="444"/>
    </row>
    <row r="168" spans="1:19" ht="40.5" customHeight="1" x14ac:dyDescent="0.25">
      <c r="A168" s="480"/>
      <c r="B168" s="480"/>
      <c r="C168" s="452">
        <v>6050</v>
      </c>
      <c r="D168" s="475" t="s">
        <v>900</v>
      </c>
      <c r="E168" s="477">
        <v>170000</v>
      </c>
      <c r="F168" s="477">
        <f>SUM(G168:I168)</f>
        <v>170000</v>
      </c>
      <c r="G168" s="477">
        <v>170000</v>
      </c>
      <c r="H168" s="477"/>
      <c r="I168" s="477"/>
      <c r="J168" s="477"/>
      <c r="K168" s="477"/>
      <c r="L168" s="477"/>
      <c r="M168" s="477"/>
      <c r="N168" s="477"/>
      <c r="O168" s="477"/>
      <c r="P168" s="1288" t="s">
        <v>901</v>
      </c>
      <c r="Q168" s="468"/>
      <c r="S168" s="444"/>
    </row>
    <row r="169" spans="1:19" ht="40.5" customHeight="1" x14ac:dyDescent="0.25">
      <c r="A169" s="480"/>
      <c r="B169" s="480">
        <v>90015</v>
      </c>
      <c r="C169" s="452"/>
      <c r="D169" s="496" t="s">
        <v>639</v>
      </c>
      <c r="E169" s="492">
        <f>SUM(E170:E172)</f>
        <v>8917326.5999999996</v>
      </c>
      <c r="F169" s="492">
        <f t="shared" ref="F169:O169" si="59">SUM(F170:F172)</f>
        <v>918450</v>
      </c>
      <c r="G169" s="492">
        <f t="shared" si="59"/>
        <v>918450</v>
      </c>
      <c r="H169" s="492">
        <f t="shared" si="59"/>
        <v>0</v>
      </c>
      <c r="I169" s="492">
        <f t="shared" si="59"/>
        <v>0</v>
      </c>
      <c r="J169" s="492">
        <f t="shared" si="59"/>
        <v>1000000</v>
      </c>
      <c r="K169" s="492">
        <f t="shared" si="59"/>
        <v>1000000</v>
      </c>
      <c r="L169" s="492">
        <f t="shared" si="59"/>
        <v>1000000</v>
      </c>
      <c r="M169" s="492">
        <f t="shared" si="59"/>
        <v>1000000</v>
      </c>
      <c r="N169" s="492">
        <f t="shared" si="59"/>
        <v>0</v>
      </c>
      <c r="O169" s="492">
        <f t="shared" si="59"/>
        <v>0</v>
      </c>
      <c r="P169" s="518"/>
      <c r="Q169" s="445"/>
      <c r="S169" s="444"/>
    </row>
    <row r="170" spans="1:19" ht="40.5" customHeight="1" x14ac:dyDescent="0.25">
      <c r="A170" s="480"/>
      <c r="B170" s="480"/>
      <c r="C170" s="557" t="s">
        <v>902</v>
      </c>
      <c r="D170" s="558" t="s">
        <v>903</v>
      </c>
      <c r="E170" s="485">
        <f>8919436.52-420559.92</f>
        <v>8498876.5999999996</v>
      </c>
      <c r="F170" s="485">
        <f>SUM(G170:I170)</f>
        <v>500000</v>
      </c>
      <c r="G170" s="485">
        <v>500000</v>
      </c>
      <c r="H170" s="485"/>
      <c r="I170" s="485"/>
      <c r="J170" s="485">
        <v>1000000</v>
      </c>
      <c r="K170" s="485">
        <v>1000000</v>
      </c>
      <c r="L170" s="485">
        <v>1000000</v>
      </c>
      <c r="M170" s="485">
        <v>1000000</v>
      </c>
      <c r="N170" s="485"/>
      <c r="O170" s="485"/>
      <c r="P170" s="486" t="s">
        <v>724</v>
      </c>
      <c r="Q170" s="445" t="s">
        <v>904</v>
      </c>
      <c r="S170" s="444"/>
    </row>
    <row r="171" spans="1:19" ht="40.5" customHeight="1" x14ac:dyDescent="0.25">
      <c r="A171" s="480"/>
      <c r="B171" s="480"/>
      <c r="C171" s="559">
        <v>6050</v>
      </c>
      <c r="D171" s="558" t="s">
        <v>905</v>
      </c>
      <c r="E171" s="560">
        <v>18450</v>
      </c>
      <c r="F171" s="485">
        <f t="shared" ref="F171" si="60">SUM(G171:I171)</f>
        <v>18450</v>
      </c>
      <c r="G171" s="560">
        <v>18450</v>
      </c>
      <c r="H171" s="560"/>
      <c r="I171" s="560"/>
      <c r="J171" s="483"/>
      <c r="K171" s="483"/>
      <c r="L171" s="483"/>
      <c r="M171" s="483"/>
      <c r="N171" s="483"/>
      <c r="O171" s="485"/>
      <c r="P171" s="486" t="s">
        <v>724</v>
      </c>
      <c r="Q171" s="445"/>
      <c r="S171" s="444"/>
    </row>
    <row r="172" spans="1:19" ht="40.5" customHeight="1" x14ac:dyDescent="0.25">
      <c r="A172" s="520"/>
      <c r="B172" s="561"/>
      <c r="C172" s="561">
        <v>6050</v>
      </c>
      <c r="D172" s="498" t="s">
        <v>906</v>
      </c>
      <c r="E172" s="562">
        <v>400000</v>
      </c>
      <c r="F172" s="485">
        <f>SUM(G172:I172)</f>
        <v>400000</v>
      </c>
      <c r="G172" s="562">
        <v>400000</v>
      </c>
      <c r="H172" s="562"/>
      <c r="I172" s="562"/>
      <c r="J172" s="563"/>
      <c r="K172" s="563"/>
      <c r="L172" s="563"/>
      <c r="M172" s="563"/>
      <c r="N172" s="563"/>
      <c r="O172" s="564"/>
      <c r="P172" s="486" t="s">
        <v>724</v>
      </c>
      <c r="Q172" s="445"/>
      <c r="S172" s="444"/>
    </row>
    <row r="173" spans="1:19" ht="40.5" customHeight="1" x14ac:dyDescent="0.25">
      <c r="A173" s="480"/>
      <c r="B173" s="480">
        <v>90095</v>
      </c>
      <c r="C173" s="452"/>
      <c r="D173" s="496" t="s">
        <v>96</v>
      </c>
      <c r="E173" s="492">
        <f>SUM(E174:E180)</f>
        <v>34499167</v>
      </c>
      <c r="F173" s="492">
        <f t="shared" ref="F173:O173" si="61">SUM(F174:F180)</f>
        <v>14333943</v>
      </c>
      <c r="G173" s="492">
        <f t="shared" si="61"/>
        <v>1800000</v>
      </c>
      <c r="H173" s="492">
        <f t="shared" si="61"/>
        <v>1880091.45</v>
      </c>
      <c r="I173" s="492">
        <f t="shared" si="61"/>
        <v>10653851.550000001</v>
      </c>
      <c r="J173" s="492">
        <f t="shared" si="61"/>
        <v>19083943</v>
      </c>
      <c r="K173" s="492">
        <f t="shared" si="61"/>
        <v>0</v>
      </c>
      <c r="L173" s="492">
        <f t="shared" si="61"/>
        <v>0</v>
      </c>
      <c r="M173" s="492">
        <f t="shared" si="61"/>
        <v>0</v>
      </c>
      <c r="N173" s="492">
        <f t="shared" si="61"/>
        <v>0</v>
      </c>
      <c r="O173" s="492">
        <f t="shared" si="61"/>
        <v>0</v>
      </c>
      <c r="P173" s="465"/>
      <c r="S173" s="444"/>
    </row>
    <row r="174" spans="1:19" ht="40.5" customHeight="1" x14ac:dyDescent="0.25">
      <c r="A174" s="520"/>
      <c r="B174" s="561"/>
      <c r="C174" s="561">
        <v>6050</v>
      </c>
      <c r="D174" s="565" t="s">
        <v>907</v>
      </c>
      <c r="E174" s="564">
        <v>3002000</v>
      </c>
      <c r="F174" s="564">
        <f t="shared" ref="F174:F180" si="62">SUM(G174:I174)</f>
        <v>500000</v>
      </c>
      <c r="G174" s="564">
        <v>500000</v>
      </c>
      <c r="H174" s="564"/>
      <c r="I174" s="564"/>
      <c r="J174" s="564">
        <v>2500000</v>
      </c>
      <c r="K174" s="564"/>
      <c r="L174" s="564"/>
      <c r="M174" s="564"/>
      <c r="N174" s="564"/>
      <c r="O174" s="564"/>
      <c r="P174" s="518" t="s">
        <v>788</v>
      </c>
      <c r="Q174" s="519" t="s">
        <v>731</v>
      </c>
      <c r="S174" s="444"/>
    </row>
    <row r="175" spans="1:19" ht="40.5" customHeight="1" x14ac:dyDescent="0.25">
      <c r="A175" s="480"/>
      <c r="B175" s="480"/>
      <c r="C175" s="486" t="s">
        <v>872</v>
      </c>
      <c r="D175" s="566" t="s">
        <v>908</v>
      </c>
      <c r="E175" s="563">
        <v>21218509.5</v>
      </c>
      <c r="F175" s="563">
        <f t="shared" si="62"/>
        <v>10433943</v>
      </c>
      <c r="G175" s="563">
        <v>100000</v>
      </c>
      <c r="H175" s="563">
        <v>1550091.45</v>
      </c>
      <c r="I175" s="563">
        <v>8783851.5500000007</v>
      </c>
      <c r="J175" s="564">
        <v>10433943</v>
      </c>
      <c r="K175" s="567"/>
      <c r="L175" s="567"/>
      <c r="M175" s="567"/>
      <c r="N175" s="567"/>
      <c r="O175" s="567"/>
      <c r="P175" s="518" t="s">
        <v>788</v>
      </c>
      <c r="Q175" s="519" t="s">
        <v>874</v>
      </c>
      <c r="S175" s="444" t="s">
        <v>909</v>
      </c>
    </row>
    <row r="176" spans="1:19" ht="40.5" customHeight="1" x14ac:dyDescent="0.25">
      <c r="A176" s="480"/>
      <c r="B176" s="480"/>
      <c r="C176" s="486" t="s">
        <v>872</v>
      </c>
      <c r="D176" s="566" t="s">
        <v>910</v>
      </c>
      <c r="E176" s="563">
        <v>2344526</v>
      </c>
      <c r="F176" s="563">
        <f t="shared" si="62"/>
        <v>2300000</v>
      </c>
      <c r="G176" s="563">
        <v>100000</v>
      </c>
      <c r="H176" s="563">
        <v>330000</v>
      </c>
      <c r="I176" s="563">
        <v>1870000</v>
      </c>
      <c r="J176" s="485"/>
      <c r="K176" s="485"/>
      <c r="L176" s="485"/>
      <c r="M176" s="485"/>
      <c r="N176" s="485"/>
      <c r="O176" s="485"/>
      <c r="P176" s="518" t="s">
        <v>788</v>
      </c>
      <c r="Q176" s="519" t="s">
        <v>757</v>
      </c>
      <c r="S176" s="444" t="s">
        <v>909</v>
      </c>
    </row>
    <row r="177" spans="1:19" ht="40.5" customHeight="1" x14ac:dyDescent="0.25">
      <c r="A177" s="520"/>
      <c r="B177" s="561"/>
      <c r="C177" s="561">
        <v>6050</v>
      </c>
      <c r="D177" s="568" t="s">
        <v>911</v>
      </c>
      <c r="E177" s="563">
        <v>6134131.5</v>
      </c>
      <c r="F177" s="563">
        <f t="shared" si="62"/>
        <v>500000</v>
      </c>
      <c r="G177" s="563">
        <v>500000</v>
      </c>
      <c r="H177" s="563"/>
      <c r="I177" s="563"/>
      <c r="J177" s="564">
        <v>5500000</v>
      </c>
      <c r="K177" s="564"/>
      <c r="L177" s="564"/>
      <c r="M177" s="564"/>
      <c r="N177" s="564"/>
      <c r="O177" s="564"/>
      <c r="P177" s="518" t="s">
        <v>788</v>
      </c>
      <c r="Q177" s="519" t="s">
        <v>912</v>
      </c>
      <c r="S177" s="444"/>
    </row>
    <row r="178" spans="1:19" ht="49.5" customHeight="1" x14ac:dyDescent="0.25">
      <c r="A178" s="520"/>
      <c r="B178" s="561"/>
      <c r="C178" s="486">
        <v>6050</v>
      </c>
      <c r="D178" s="503" t="s">
        <v>913</v>
      </c>
      <c r="E178" s="483">
        <v>250000</v>
      </c>
      <c r="F178" s="504">
        <f t="shared" si="62"/>
        <v>250000</v>
      </c>
      <c r="G178" s="483">
        <v>250000</v>
      </c>
      <c r="H178" s="483"/>
      <c r="I178" s="483"/>
      <c r="J178" s="505"/>
      <c r="K178" s="505"/>
      <c r="L178" s="505"/>
      <c r="M178" s="505"/>
      <c r="N178" s="505"/>
      <c r="O178" s="506"/>
      <c r="P178" s="518" t="s">
        <v>786</v>
      </c>
      <c r="S178" s="444"/>
    </row>
    <row r="179" spans="1:19" ht="49.5" customHeight="1" x14ac:dyDescent="0.25">
      <c r="A179" s="520"/>
      <c r="B179" s="561"/>
      <c r="C179" s="486">
        <v>6050</v>
      </c>
      <c r="D179" s="503" t="s">
        <v>914</v>
      </c>
      <c r="E179" s="483">
        <v>1050000</v>
      </c>
      <c r="F179" s="504">
        <f t="shared" si="62"/>
        <v>250000</v>
      </c>
      <c r="G179" s="483">
        <v>250000</v>
      </c>
      <c r="H179" s="483"/>
      <c r="I179" s="483"/>
      <c r="J179" s="505">
        <v>250000</v>
      </c>
      <c r="K179" s="505"/>
      <c r="L179" s="505"/>
      <c r="M179" s="505"/>
      <c r="N179" s="505"/>
      <c r="O179" s="506"/>
      <c r="P179" s="518" t="s">
        <v>786</v>
      </c>
      <c r="Q179" s="445" t="s">
        <v>751</v>
      </c>
      <c r="S179" s="444"/>
    </row>
    <row r="180" spans="1:19" ht="54.75" customHeight="1" x14ac:dyDescent="0.25">
      <c r="A180" s="520"/>
      <c r="B180" s="561"/>
      <c r="C180" s="486">
        <v>6050</v>
      </c>
      <c r="D180" s="503" t="s">
        <v>915</v>
      </c>
      <c r="E180" s="483">
        <v>500000</v>
      </c>
      <c r="F180" s="504">
        <f t="shared" si="62"/>
        <v>100000</v>
      </c>
      <c r="G180" s="483">
        <v>100000</v>
      </c>
      <c r="H180" s="483"/>
      <c r="I180" s="483"/>
      <c r="J180" s="505">
        <v>400000</v>
      </c>
      <c r="K180" s="505"/>
      <c r="L180" s="505"/>
      <c r="M180" s="505"/>
      <c r="N180" s="505"/>
      <c r="O180" s="506"/>
      <c r="P180" s="518" t="s">
        <v>786</v>
      </c>
      <c r="Q180" s="445" t="s">
        <v>751</v>
      </c>
      <c r="S180" s="444"/>
    </row>
    <row r="181" spans="1:19" ht="40.5" customHeight="1" x14ac:dyDescent="0.25">
      <c r="A181" s="480">
        <v>921</v>
      </c>
      <c r="B181" s="480"/>
      <c r="C181" s="486"/>
      <c r="D181" s="500" t="s">
        <v>916</v>
      </c>
      <c r="E181" s="501">
        <f>SUM(E182,E184,E186,E188)</f>
        <v>106132.36</v>
      </c>
      <c r="F181" s="501">
        <f t="shared" ref="F181:O181" si="63">SUM(F182,F184,F186,F188)</f>
        <v>77033.59</v>
      </c>
      <c r="G181" s="501">
        <f t="shared" si="63"/>
        <v>77033.59</v>
      </c>
      <c r="H181" s="501">
        <f t="shared" si="63"/>
        <v>0</v>
      </c>
      <c r="I181" s="501">
        <f t="shared" si="63"/>
        <v>0</v>
      </c>
      <c r="J181" s="501">
        <f t="shared" si="63"/>
        <v>27250.770000000004</v>
      </c>
      <c r="K181" s="501">
        <f t="shared" si="63"/>
        <v>1845</v>
      </c>
      <c r="L181" s="501">
        <f t="shared" si="63"/>
        <v>0</v>
      </c>
      <c r="M181" s="501">
        <f t="shared" si="63"/>
        <v>0</v>
      </c>
      <c r="N181" s="501">
        <f t="shared" si="63"/>
        <v>0</v>
      </c>
      <c r="O181" s="501">
        <f t="shared" si="63"/>
        <v>0</v>
      </c>
      <c r="P181" s="518"/>
      <c r="S181" s="444"/>
    </row>
    <row r="182" spans="1:19" ht="40.5" customHeight="1" x14ac:dyDescent="0.25">
      <c r="A182" s="480"/>
      <c r="B182" s="480">
        <v>92110</v>
      </c>
      <c r="C182" s="486"/>
      <c r="D182" s="500" t="s">
        <v>641</v>
      </c>
      <c r="E182" s="501">
        <f t="shared" ref="E182:O182" si="64">SUM(E183:E183)</f>
        <v>9215.7800000000007</v>
      </c>
      <c r="F182" s="501">
        <f t="shared" si="64"/>
        <v>5156.78</v>
      </c>
      <c r="G182" s="501">
        <f t="shared" si="64"/>
        <v>5156.78</v>
      </c>
      <c r="H182" s="501">
        <f t="shared" si="64"/>
        <v>0</v>
      </c>
      <c r="I182" s="501">
        <f t="shared" si="64"/>
        <v>0</v>
      </c>
      <c r="J182" s="501">
        <f t="shared" si="64"/>
        <v>4056</v>
      </c>
      <c r="K182" s="501">
        <f t="shared" si="64"/>
        <v>0</v>
      </c>
      <c r="L182" s="501">
        <f t="shared" si="64"/>
        <v>0</v>
      </c>
      <c r="M182" s="501">
        <f t="shared" si="64"/>
        <v>0</v>
      </c>
      <c r="N182" s="501">
        <f t="shared" si="64"/>
        <v>0</v>
      </c>
      <c r="O182" s="501">
        <f t="shared" si="64"/>
        <v>0</v>
      </c>
      <c r="P182" s="518"/>
      <c r="S182" s="444"/>
    </row>
    <row r="183" spans="1:19" ht="40.5" customHeight="1" x14ac:dyDescent="0.25">
      <c r="A183" s="480"/>
      <c r="B183" s="480"/>
      <c r="C183" s="486">
        <v>6229</v>
      </c>
      <c r="D183" s="503" t="s">
        <v>917</v>
      </c>
      <c r="E183" s="483">
        <v>9215.7800000000007</v>
      </c>
      <c r="F183" s="504">
        <f>SUM(G183:I183)</f>
        <v>5156.78</v>
      </c>
      <c r="G183" s="483">
        <v>5156.78</v>
      </c>
      <c r="H183" s="483"/>
      <c r="I183" s="483"/>
      <c r="J183" s="505">
        <v>4056</v>
      </c>
      <c r="K183" s="505"/>
      <c r="L183" s="505"/>
      <c r="M183" s="505"/>
      <c r="N183" s="505"/>
      <c r="O183" s="506"/>
      <c r="P183" s="518" t="s">
        <v>918</v>
      </c>
      <c r="Q183" s="445" t="s">
        <v>751</v>
      </c>
      <c r="S183" s="444"/>
    </row>
    <row r="184" spans="1:19" ht="40.5" customHeight="1" x14ac:dyDescent="0.25">
      <c r="A184" s="480"/>
      <c r="B184" s="480">
        <v>92113</v>
      </c>
      <c r="C184" s="486"/>
      <c r="D184" s="500" t="s">
        <v>642</v>
      </c>
      <c r="E184" s="501">
        <f t="shared" ref="E184:O184" si="65">SUM(E185:E185)</f>
        <v>30665.37</v>
      </c>
      <c r="F184" s="501">
        <f t="shared" si="65"/>
        <v>25880.37</v>
      </c>
      <c r="G184" s="501">
        <f t="shared" si="65"/>
        <v>25880.37</v>
      </c>
      <c r="H184" s="501">
        <f t="shared" si="65"/>
        <v>0</v>
      </c>
      <c r="I184" s="501">
        <f t="shared" si="65"/>
        <v>0</v>
      </c>
      <c r="J184" s="501">
        <f t="shared" si="65"/>
        <v>2940</v>
      </c>
      <c r="K184" s="501">
        <f t="shared" si="65"/>
        <v>1845</v>
      </c>
      <c r="L184" s="501">
        <f t="shared" si="65"/>
        <v>0</v>
      </c>
      <c r="M184" s="501">
        <f t="shared" si="65"/>
        <v>0</v>
      </c>
      <c r="N184" s="501">
        <f t="shared" si="65"/>
        <v>0</v>
      </c>
      <c r="O184" s="501">
        <f t="shared" si="65"/>
        <v>0</v>
      </c>
      <c r="P184" s="518"/>
      <c r="S184" s="444"/>
    </row>
    <row r="185" spans="1:19" ht="40.5" customHeight="1" x14ac:dyDescent="0.25">
      <c r="A185" s="480"/>
      <c r="B185" s="480"/>
      <c r="C185" s="486">
        <v>6229</v>
      </c>
      <c r="D185" s="503" t="s">
        <v>919</v>
      </c>
      <c r="E185" s="483">
        <v>30665.37</v>
      </c>
      <c r="F185" s="504">
        <f>SUM(G185:I185)</f>
        <v>25880.37</v>
      </c>
      <c r="G185" s="483">
        <v>25880.37</v>
      </c>
      <c r="H185" s="483"/>
      <c r="I185" s="483"/>
      <c r="J185" s="505">
        <v>2940</v>
      </c>
      <c r="K185" s="505">
        <v>1845</v>
      </c>
      <c r="L185" s="505"/>
      <c r="M185" s="505"/>
      <c r="N185" s="505"/>
      <c r="O185" s="506"/>
      <c r="P185" s="518" t="s">
        <v>920</v>
      </c>
      <c r="Q185" s="445" t="s">
        <v>921</v>
      </c>
      <c r="S185" s="444"/>
    </row>
    <row r="186" spans="1:19" ht="40.5" customHeight="1" x14ac:dyDescent="0.25">
      <c r="A186" s="480"/>
      <c r="B186" s="480">
        <v>92114</v>
      </c>
      <c r="C186" s="486"/>
      <c r="D186" s="500" t="s">
        <v>643</v>
      </c>
      <c r="E186" s="501">
        <f t="shared" ref="E186:O186" si="66">SUM(E187:E187)</f>
        <v>21326.21</v>
      </c>
      <c r="F186" s="501">
        <f t="shared" si="66"/>
        <v>8856.59</v>
      </c>
      <c r="G186" s="501">
        <f t="shared" si="66"/>
        <v>8856.59</v>
      </c>
      <c r="H186" s="501">
        <f t="shared" si="66"/>
        <v>0</v>
      </c>
      <c r="I186" s="501">
        <f t="shared" si="66"/>
        <v>0</v>
      </c>
      <c r="J186" s="501">
        <f t="shared" si="66"/>
        <v>12469.62</v>
      </c>
      <c r="K186" s="501">
        <f t="shared" si="66"/>
        <v>0</v>
      </c>
      <c r="L186" s="501">
        <f t="shared" si="66"/>
        <v>0</v>
      </c>
      <c r="M186" s="501">
        <f t="shared" si="66"/>
        <v>0</v>
      </c>
      <c r="N186" s="501">
        <f t="shared" si="66"/>
        <v>0</v>
      </c>
      <c r="O186" s="501">
        <f t="shared" si="66"/>
        <v>0</v>
      </c>
      <c r="P186" s="518"/>
      <c r="S186" s="444"/>
    </row>
    <row r="187" spans="1:19" ht="40.5" customHeight="1" x14ac:dyDescent="0.25">
      <c r="A187" s="480"/>
      <c r="B187" s="480"/>
      <c r="C187" s="486">
        <v>6229</v>
      </c>
      <c r="D187" s="503" t="s">
        <v>922</v>
      </c>
      <c r="E187" s="483">
        <v>21326.21</v>
      </c>
      <c r="F187" s="504">
        <f>SUM(G187:I187)</f>
        <v>8856.59</v>
      </c>
      <c r="G187" s="483">
        <v>8856.59</v>
      </c>
      <c r="H187" s="483"/>
      <c r="I187" s="483"/>
      <c r="J187" s="505">
        <v>12469.62</v>
      </c>
      <c r="K187" s="505"/>
      <c r="L187" s="505"/>
      <c r="M187" s="505"/>
      <c r="N187" s="505"/>
      <c r="O187" s="506"/>
      <c r="P187" s="518" t="s">
        <v>923</v>
      </c>
      <c r="Q187" s="445" t="s">
        <v>751</v>
      </c>
      <c r="S187" s="444"/>
    </row>
    <row r="188" spans="1:19" ht="40.5" customHeight="1" x14ac:dyDescent="0.25">
      <c r="A188" s="480"/>
      <c r="B188" s="480">
        <v>92116</v>
      </c>
      <c r="C188" s="486"/>
      <c r="D188" s="500" t="s">
        <v>644</v>
      </c>
      <c r="E188" s="501">
        <f t="shared" ref="E188:O188" si="67">SUM(E189:E189)</f>
        <v>44925</v>
      </c>
      <c r="F188" s="501">
        <f t="shared" si="67"/>
        <v>37139.85</v>
      </c>
      <c r="G188" s="501">
        <f t="shared" si="67"/>
        <v>37139.85</v>
      </c>
      <c r="H188" s="501">
        <f t="shared" si="67"/>
        <v>0</v>
      </c>
      <c r="I188" s="501">
        <f t="shared" si="67"/>
        <v>0</v>
      </c>
      <c r="J188" s="501">
        <f t="shared" si="67"/>
        <v>7785.15</v>
      </c>
      <c r="K188" s="501">
        <f t="shared" si="67"/>
        <v>0</v>
      </c>
      <c r="L188" s="501">
        <f t="shared" si="67"/>
        <v>0</v>
      </c>
      <c r="M188" s="501">
        <f t="shared" si="67"/>
        <v>0</v>
      </c>
      <c r="N188" s="501">
        <f t="shared" si="67"/>
        <v>0</v>
      </c>
      <c r="O188" s="501">
        <f t="shared" si="67"/>
        <v>0</v>
      </c>
      <c r="P188" s="465"/>
      <c r="S188" s="444"/>
    </row>
    <row r="189" spans="1:19" ht="40.5" customHeight="1" x14ac:dyDescent="0.25">
      <c r="A189" s="480"/>
      <c r="B189" s="480"/>
      <c r="C189" s="486">
        <v>6229</v>
      </c>
      <c r="D189" s="503" t="s">
        <v>924</v>
      </c>
      <c r="E189" s="483">
        <v>44925</v>
      </c>
      <c r="F189" s="504">
        <f>SUM(G189:I189)</f>
        <v>37139.85</v>
      </c>
      <c r="G189" s="483">
        <v>37139.85</v>
      </c>
      <c r="H189" s="483"/>
      <c r="I189" s="483"/>
      <c r="J189" s="505">
        <v>7785.15</v>
      </c>
      <c r="K189" s="505"/>
      <c r="L189" s="505"/>
      <c r="M189" s="505"/>
      <c r="N189" s="505"/>
      <c r="O189" s="506"/>
      <c r="P189" s="518" t="s">
        <v>925</v>
      </c>
      <c r="Q189" s="445" t="s">
        <v>751</v>
      </c>
      <c r="S189" s="444"/>
    </row>
    <row r="190" spans="1:19" ht="40.5" customHeight="1" x14ac:dyDescent="0.25">
      <c r="A190" s="480">
        <v>926</v>
      </c>
      <c r="B190" s="480"/>
      <c r="C190" s="452"/>
      <c r="D190" s="569" t="s">
        <v>926</v>
      </c>
      <c r="E190" s="570">
        <f>SUM(E191,E200)</f>
        <v>18985818.16</v>
      </c>
      <c r="F190" s="570">
        <f t="shared" ref="F190:O190" si="68">SUM(F191,F200)</f>
        <v>9040000</v>
      </c>
      <c r="G190" s="570">
        <f t="shared" si="68"/>
        <v>7796011</v>
      </c>
      <c r="H190" s="570">
        <f t="shared" si="68"/>
        <v>1243989</v>
      </c>
      <c r="I190" s="570">
        <f t="shared" si="68"/>
        <v>0</v>
      </c>
      <c r="J190" s="570">
        <f t="shared" si="68"/>
        <v>9500000</v>
      </c>
      <c r="K190" s="570">
        <f t="shared" si="68"/>
        <v>0</v>
      </c>
      <c r="L190" s="570">
        <f t="shared" si="68"/>
        <v>0</v>
      </c>
      <c r="M190" s="570">
        <f t="shared" si="68"/>
        <v>0</v>
      </c>
      <c r="N190" s="570">
        <f t="shared" si="68"/>
        <v>0</v>
      </c>
      <c r="O190" s="570">
        <f t="shared" si="68"/>
        <v>0</v>
      </c>
      <c r="P190" s="518"/>
      <c r="S190" s="444"/>
    </row>
    <row r="191" spans="1:19" ht="40.5" customHeight="1" x14ac:dyDescent="0.25">
      <c r="A191" s="480"/>
      <c r="B191" s="480">
        <v>92601</v>
      </c>
      <c r="C191" s="452"/>
      <c r="D191" s="571" t="s">
        <v>646</v>
      </c>
      <c r="E191" s="570">
        <f>SUM(E192:E199)</f>
        <v>18745818.16</v>
      </c>
      <c r="F191" s="570">
        <f t="shared" ref="F191:O191" si="69">SUM(F192:F199)</f>
        <v>8800000</v>
      </c>
      <c r="G191" s="570">
        <f t="shared" si="69"/>
        <v>7556011</v>
      </c>
      <c r="H191" s="570">
        <f t="shared" si="69"/>
        <v>1243989</v>
      </c>
      <c r="I191" s="570">
        <f t="shared" si="69"/>
        <v>0</v>
      </c>
      <c r="J191" s="570">
        <f t="shared" si="69"/>
        <v>9500000</v>
      </c>
      <c r="K191" s="570">
        <f t="shared" si="69"/>
        <v>0</v>
      </c>
      <c r="L191" s="570">
        <f t="shared" si="69"/>
        <v>0</v>
      </c>
      <c r="M191" s="570">
        <f t="shared" si="69"/>
        <v>0</v>
      </c>
      <c r="N191" s="570">
        <f t="shared" si="69"/>
        <v>0</v>
      </c>
      <c r="O191" s="570">
        <f t="shared" si="69"/>
        <v>0</v>
      </c>
      <c r="P191" s="518"/>
      <c r="S191" s="444"/>
    </row>
    <row r="192" spans="1:19" ht="40.5" customHeight="1" x14ac:dyDescent="0.25">
      <c r="A192" s="480"/>
      <c r="B192" s="480"/>
      <c r="C192" s="452">
        <v>6050</v>
      </c>
      <c r="D192" s="572" t="s">
        <v>927</v>
      </c>
      <c r="E192" s="573">
        <v>3085239</v>
      </c>
      <c r="F192" s="574">
        <f>SUM(G192:I192)</f>
        <v>1000000</v>
      </c>
      <c r="G192" s="573">
        <v>1000000</v>
      </c>
      <c r="H192" s="573"/>
      <c r="I192" s="573"/>
      <c r="J192" s="508">
        <v>2000000</v>
      </c>
      <c r="K192" s="508"/>
      <c r="L192" s="508"/>
      <c r="M192" s="508"/>
      <c r="N192" s="575"/>
      <c r="O192" s="485"/>
      <c r="P192" s="518" t="s">
        <v>788</v>
      </c>
      <c r="Q192" s="519" t="s">
        <v>791</v>
      </c>
      <c r="S192" s="444"/>
    </row>
    <row r="193" spans="1:19" ht="40.5" customHeight="1" x14ac:dyDescent="0.25">
      <c r="A193" s="480"/>
      <c r="B193" s="480"/>
      <c r="C193" s="452">
        <v>6050</v>
      </c>
      <c r="D193" s="572" t="s">
        <v>928</v>
      </c>
      <c r="E193" s="573">
        <v>3023690</v>
      </c>
      <c r="F193" s="574">
        <f>SUM(G193:I193)</f>
        <v>500000</v>
      </c>
      <c r="G193" s="573">
        <v>500000</v>
      </c>
      <c r="H193" s="573"/>
      <c r="I193" s="573"/>
      <c r="J193" s="485">
        <v>2500000</v>
      </c>
      <c r="K193" s="492"/>
      <c r="L193" s="492"/>
      <c r="M193" s="492"/>
      <c r="N193" s="492"/>
      <c r="O193" s="492"/>
      <c r="P193" s="518" t="s">
        <v>788</v>
      </c>
      <c r="Q193" s="519" t="s">
        <v>731</v>
      </c>
      <c r="S193" s="444"/>
    </row>
    <row r="194" spans="1:19" ht="40.5" customHeight="1" x14ac:dyDescent="0.25">
      <c r="A194" s="576"/>
      <c r="B194" s="561"/>
      <c r="C194" s="452">
        <v>6050</v>
      </c>
      <c r="D194" s="577" t="s">
        <v>929</v>
      </c>
      <c r="E194" s="476">
        <v>380000</v>
      </c>
      <c r="F194" s="574">
        <f t="shared" ref="F194:F197" si="70">SUM(G194:I194)</f>
        <v>200000</v>
      </c>
      <c r="G194" s="476">
        <v>200000</v>
      </c>
      <c r="H194" s="483"/>
      <c r="I194" s="483"/>
      <c r="J194" s="578"/>
      <c r="K194" s="578"/>
      <c r="L194" s="578"/>
      <c r="M194" s="578"/>
      <c r="N194" s="578"/>
      <c r="O194" s="578"/>
      <c r="P194" s="518" t="s">
        <v>788</v>
      </c>
      <c r="Q194" s="519" t="s">
        <v>745</v>
      </c>
      <c r="S194" s="444"/>
    </row>
    <row r="195" spans="1:19" ht="40.5" customHeight="1" x14ac:dyDescent="0.25">
      <c r="A195" s="579"/>
      <c r="B195" s="496"/>
      <c r="C195" s="452">
        <v>6050</v>
      </c>
      <c r="D195" s="577" t="s">
        <v>930</v>
      </c>
      <c r="E195" s="476">
        <v>1000000</v>
      </c>
      <c r="F195" s="574">
        <f t="shared" si="70"/>
        <v>500000</v>
      </c>
      <c r="G195" s="476">
        <v>500000</v>
      </c>
      <c r="H195" s="483"/>
      <c r="I195" s="483"/>
      <c r="J195" s="564">
        <v>500000</v>
      </c>
      <c r="K195" s="564"/>
      <c r="L195" s="564"/>
      <c r="M195" s="564"/>
      <c r="N195" s="564"/>
      <c r="O195" s="564"/>
      <c r="P195" s="518" t="s">
        <v>788</v>
      </c>
      <c r="Q195" s="519" t="s">
        <v>731</v>
      </c>
      <c r="S195" s="444"/>
    </row>
    <row r="196" spans="1:19" ht="40.5" customHeight="1" x14ac:dyDescent="0.25">
      <c r="A196" s="480"/>
      <c r="B196" s="480"/>
      <c r="C196" s="452">
        <v>6050</v>
      </c>
      <c r="D196" s="580" t="s">
        <v>931</v>
      </c>
      <c r="E196" s="483">
        <v>2733199.16</v>
      </c>
      <c r="F196" s="574">
        <f t="shared" si="70"/>
        <v>2600000</v>
      </c>
      <c r="G196" s="483">
        <v>1356011</v>
      </c>
      <c r="H196" s="483">
        <v>1243989</v>
      </c>
      <c r="I196" s="483"/>
      <c r="J196" s="485"/>
      <c r="K196" s="485"/>
      <c r="L196" s="485"/>
      <c r="M196" s="485"/>
      <c r="N196" s="485"/>
      <c r="O196" s="485"/>
      <c r="P196" s="518" t="s">
        <v>788</v>
      </c>
      <c r="Q196" s="519" t="s">
        <v>745</v>
      </c>
      <c r="S196" s="581"/>
    </row>
    <row r="197" spans="1:19" ht="40.5" customHeight="1" x14ac:dyDescent="0.25">
      <c r="A197" s="480"/>
      <c r="B197" s="480"/>
      <c r="C197" s="452">
        <v>6050</v>
      </c>
      <c r="D197" s="580" t="s">
        <v>932</v>
      </c>
      <c r="E197" s="483">
        <v>4023690</v>
      </c>
      <c r="F197" s="574">
        <f t="shared" si="70"/>
        <v>500000</v>
      </c>
      <c r="G197" s="483">
        <v>500000</v>
      </c>
      <c r="H197" s="483"/>
      <c r="I197" s="483"/>
      <c r="J197" s="582">
        <v>3500000</v>
      </c>
      <c r="K197" s="570"/>
      <c r="L197" s="570"/>
      <c r="M197" s="570"/>
      <c r="N197" s="570"/>
      <c r="O197" s="570"/>
      <c r="P197" s="518" t="s">
        <v>788</v>
      </c>
      <c r="Q197" s="519" t="s">
        <v>731</v>
      </c>
      <c r="S197" s="444"/>
    </row>
    <row r="198" spans="1:19" ht="40.5" customHeight="1" x14ac:dyDescent="0.25">
      <c r="A198" s="480"/>
      <c r="B198" s="520"/>
      <c r="C198" s="452">
        <v>6050</v>
      </c>
      <c r="D198" s="583" t="s">
        <v>933</v>
      </c>
      <c r="E198" s="584">
        <v>1500000</v>
      </c>
      <c r="F198" s="584">
        <f>SUM(G198:I198)</f>
        <v>500000</v>
      </c>
      <c r="G198" s="584">
        <v>500000</v>
      </c>
      <c r="H198" s="585"/>
      <c r="I198" s="585"/>
      <c r="J198" s="513">
        <v>1000000</v>
      </c>
      <c r="K198" s="513"/>
      <c r="L198" s="513"/>
      <c r="M198" s="513"/>
      <c r="N198" s="586"/>
      <c r="O198" s="485"/>
      <c r="P198" s="518" t="s">
        <v>788</v>
      </c>
      <c r="Q198" s="445" t="s">
        <v>751</v>
      </c>
      <c r="S198" s="444"/>
    </row>
    <row r="199" spans="1:19" ht="40.5" customHeight="1" x14ac:dyDescent="0.25">
      <c r="A199" s="480"/>
      <c r="B199" s="480"/>
      <c r="C199" s="452">
        <v>6050</v>
      </c>
      <c r="D199" s="466" t="s">
        <v>934</v>
      </c>
      <c r="E199" s="476">
        <f>21802354-18802354</f>
        <v>3000000</v>
      </c>
      <c r="F199" s="476">
        <f>SUM(G199:I199)</f>
        <v>3000000</v>
      </c>
      <c r="G199" s="476">
        <v>3000000</v>
      </c>
      <c r="H199" s="556"/>
      <c r="I199" s="556"/>
      <c r="J199" s="556"/>
      <c r="K199" s="556"/>
      <c r="L199" s="556"/>
      <c r="M199" s="556"/>
      <c r="N199" s="556"/>
      <c r="O199" s="556"/>
      <c r="P199" s="486" t="s">
        <v>935</v>
      </c>
      <c r="Q199" s="445"/>
      <c r="S199" s="444"/>
    </row>
    <row r="200" spans="1:19" ht="40.5" customHeight="1" x14ac:dyDescent="0.25">
      <c r="A200" s="480"/>
      <c r="B200" s="480">
        <v>92604</v>
      </c>
      <c r="C200" s="452"/>
      <c r="D200" s="496" t="s">
        <v>412</v>
      </c>
      <c r="E200" s="587">
        <f>SUM(E201)</f>
        <v>240000</v>
      </c>
      <c r="F200" s="587">
        <f t="shared" ref="F200:O200" si="71">SUM(F201)</f>
        <v>240000</v>
      </c>
      <c r="G200" s="587">
        <f t="shared" si="71"/>
        <v>240000</v>
      </c>
      <c r="H200" s="588">
        <f t="shared" si="71"/>
        <v>0</v>
      </c>
      <c r="I200" s="588">
        <f t="shared" si="71"/>
        <v>0</v>
      </c>
      <c r="J200" s="588">
        <f t="shared" si="71"/>
        <v>0</v>
      </c>
      <c r="K200" s="588">
        <f t="shared" si="71"/>
        <v>0</v>
      </c>
      <c r="L200" s="588">
        <f t="shared" si="71"/>
        <v>0</v>
      </c>
      <c r="M200" s="588">
        <f t="shared" si="71"/>
        <v>0</v>
      </c>
      <c r="N200" s="588">
        <f t="shared" si="71"/>
        <v>0</v>
      </c>
      <c r="O200" s="588">
        <f t="shared" si="71"/>
        <v>0</v>
      </c>
      <c r="P200" s="486"/>
      <c r="Q200" s="445"/>
      <c r="S200" s="444"/>
    </row>
    <row r="201" spans="1:19" ht="40.5" customHeight="1" thickBot="1" x14ac:dyDescent="0.3">
      <c r="A201" s="589"/>
      <c r="B201" s="480"/>
      <c r="C201" s="452">
        <v>6060</v>
      </c>
      <c r="D201" s="475" t="s">
        <v>936</v>
      </c>
      <c r="E201" s="476">
        <v>240000</v>
      </c>
      <c r="F201" s="476">
        <f>SUM(G201:I201)</f>
        <v>240000</v>
      </c>
      <c r="G201" s="476">
        <v>240000</v>
      </c>
      <c r="H201" s="556"/>
      <c r="I201" s="556"/>
      <c r="J201" s="556"/>
      <c r="K201" s="556"/>
      <c r="L201" s="556"/>
      <c r="M201" s="556"/>
      <c r="N201" s="556"/>
      <c r="O201" s="556"/>
      <c r="P201" s="486" t="s">
        <v>935</v>
      </c>
      <c r="Q201" s="445"/>
      <c r="S201" s="444"/>
    </row>
    <row r="202" spans="1:19" ht="40.5" customHeight="1" thickTop="1" thickBot="1" x14ac:dyDescent="0.3">
      <c r="A202" s="590"/>
      <c r="B202" s="591">
        <v>75818</v>
      </c>
      <c r="C202" s="592"/>
      <c r="D202" s="593" t="s">
        <v>937</v>
      </c>
      <c r="E202" s="594" t="s">
        <v>938</v>
      </c>
      <c r="F202" s="595">
        <f t="shared" ref="F202:O202" si="72">SUM(F203)</f>
        <v>4550000</v>
      </c>
      <c r="G202" s="595">
        <f t="shared" si="72"/>
        <v>4550000</v>
      </c>
      <c r="H202" s="595">
        <f t="shared" si="72"/>
        <v>0</v>
      </c>
      <c r="I202" s="595">
        <f t="shared" si="72"/>
        <v>0</v>
      </c>
      <c r="J202" s="595">
        <f t="shared" si="72"/>
        <v>0</v>
      </c>
      <c r="K202" s="595">
        <f t="shared" si="72"/>
        <v>0</v>
      </c>
      <c r="L202" s="595">
        <f t="shared" si="72"/>
        <v>0</v>
      </c>
      <c r="M202" s="595">
        <f t="shared" si="72"/>
        <v>0</v>
      </c>
      <c r="N202" s="595">
        <f t="shared" si="72"/>
        <v>0</v>
      </c>
      <c r="O202" s="595">
        <f t="shared" si="72"/>
        <v>0</v>
      </c>
      <c r="P202" s="1297" t="s">
        <v>939</v>
      </c>
      <c r="Q202" s="596"/>
      <c r="R202" s="597"/>
      <c r="S202" s="444"/>
    </row>
    <row r="203" spans="1:19" s="457" customFormat="1" ht="40.5" customHeight="1" x14ac:dyDescent="0.25">
      <c r="A203" s="598"/>
      <c r="B203" s="599"/>
      <c r="C203" s="452">
        <v>6800</v>
      </c>
      <c r="D203" s="580" t="s">
        <v>940</v>
      </c>
      <c r="E203" s="582"/>
      <c r="F203" s="508">
        <f>SUM(G203:I203)</f>
        <v>4550000</v>
      </c>
      <c r="G203" s="508">
        <v>4550000</v>
      </c>
      <c r="H203" s="508"/>
      <c r="I203" s="508"/>
      <c r="J203" s="463"/>
      <c r="K203" s="463"/>
      <c r="L203" s="463"/>
      <c r="M203" s="463"/>
      <c r="N203" s="463"/>
      <c r="O203" s="463"/>
      <c r="P203" s="518" t="s">
        <v>939</v>
      </c>
      <c r="R203" s="458"/>
      <c r="S203" s="600"/>
    </row>
  </sheetData>
  <autoFilter ref="C1:C204" xr:uid="{C0A49CB6-E454-4329-8A42-41A3CE2DE2E3}"/>
  <pageMargins left="0.43307086614173229" right="0.43307086614173229" top="0.74803149606299213" bottom="0.74803149606299213" header="0.31496062992125984" footer="0.31496062992125984"/>
  <pageSetup paperSize="9" scale="80" orientation="landscape" useFirstPageNumber="1" r:id="rId1"/>
  <headerFooter>
    <oddFooter>&amp;C&amp;"Arial,Pogrubiony" &amp;P</oddFooter>
  </headerFooter>
  <rowBreaks count="15" manualBreakCount="15">
    <brk id="29" max="16383" man="1"/>
    <brk id="42" max="16383" man="1"/>
    <brk id="55" max="16383" man="1"/>
    <brk id="68" max="16383" man="1"/>
    <brk id="80" max="16383" man="1"/>
    <brk id="92" max="16383" man="1"/>
    <brk id="103" max="16383" man="1"/>
    <brk id="116" max="16383" man="1"/>
    <brk id="128" max="16383" man="1"/>
    <brk id="141" max="16383" man="1"/>
    <brk id="152" max="16383" man="1"/>
    <brk id="163" max="16383" man="1"/>
    <brk id="176" max="16383" man="1"/>
    <brk id="187" max="16383" man="1"/>
    <brk id="199" max="16383" man="1"/>
  </row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C0BA6E-6787-4ECD-AEB4-B57B8744CF15}">
  <dimension ref="A1:L196"/>
  <sheetViews>
    <sheetView zoomScale="120" zoomScaleNormal="120" workbookViewId="0">
      <pane ySplit="17" topLeftCell="A173" activePane="bottomLeft" state="frozen"/>
      <selection pane="bottomLeft" activeCell="A8" sqref="A8:I176"/>
    </sheetView>
  </sheetViews>
  <sheetFormatPr defaultColWidth="10.28515625" defaultRowHeight="11.25" x14ac:dyDescent="0.2"/>
  <cols>
    <col min="1" max="1" width="6.42578125" style="604" customWidth="1"/>
    <col min="2" max="2" width="58.28515625" style="604" customWidth="1"/>
    <col min="3" max="3" width="10.28515625" style="604"/>
    <col min="4" max="6" width="11.42578125" style="604" customWidth="1"/>
    <col min="7" max="7" width="11.5703125" style="604" customWidth="1"/>
    <col min="8" max="8" width="11.28515625" style="604" customWidth="1"/>
    <col min="9" max="9" width="11.5703125" style="604" customWidth="1"/>
    <col min="10" max="10" width="17" style="604" customWidth="1"/>
    <col min="11" max="11" width="16.28515625" style="604" customWidth="1"/>
    <col min="12" max="256" width="10.28515625" style="604"/>
    <col min="257" max="257" width="6.42578125" style="604" customWidth="1"/>
    <col min="258" max="258" width="58.28515625" style="604" customWidth="1"/>
    <col min="259" max="259" width="10.28515625" style="604"/>
    <col min="260" max="260" width="11" style="604" customWidth="1"/>
    <col min="261" max="262" width="9.7109375" style="604" customWidth="1"/>
    <col min="263" max="263" width="10.7109375" style="604" customWidth="1"/>
    <col min="264" max="265" width="11.28515625" style="604" customWidth="1"/>
    <col min="266" max="266" width="17" style="604" customWidth="1"/>
    <col min="267" max="267" width="16.28515625" style="604" customWidth="1"/>
    <col min="268" max="512" width="10.28515625" style="604"/>
    <col min="513" max="513" width="6.42578125" style="604" customWidth="1"/>
    <col min="514" max="514" width="58.28515625" style="604" customWidth="1"/>
    <col min="515" max="515" width="10.28515625" style="604"/>
    <col min="516" max="516" width="11" style="604" customWidth="1"/>
    <col min="517" max="518" width="9.7109375" style="604" customWidth="1"/>
    <col min="519" max="519" width="10.7109375" style="604" customWidth="1"/>
    <col min="520" max="521" width="11.28515625" style="604" customWidth="1"/>
    <col min="522" max="522" width="17" style="604" customWidth="1"/>
    <col min="523" max="523" width="16.28515625" style="604" customWidth="1"/>
    <col min="524" max="768" width="10.28515625" style="604"/>
    <col min="769" max="769" width="6.42578125" style="604" customWidth="1"/>
    <col min="770" max="770" width="58.28515625" style="604" customWidth="1"/>
    <col min="771" max="771" width="10.28515625" style="604"/>
    <col min="772" max="772" width="11" style="604" customWidth="1"/>
    <col min="773" max="774" width="9.7109375" style="604" customWidth="1"/>
    <col min="775" max="775" width="10.7109375" style="604" customWidth="1"/>
    <col min="776" max="777" width="11.28515625" style="604" customWidth="1"/>
    <col min="778" max="778" width="17" style="604" customWidth="1"/>
    <col min="779" max="779" width="16.28515625" style="604" customWidth="1"/>
    <col min="780" max="1024" width="10.28515625" style="604"/>
    <col min="1025" max="1025" width="6.42578125" style="604" customWidth="1"/>
    <col min="1026" max="1026" width="58.28515625" style="604" customWidth="1"/>
    <col min="1027" max="1027" width="10.28515625" style="604"/>
    <col min="1028" max="1028" width="11" style="604" customWidth="1"/>
    <col min="1029" max="1030" width="9.7109375" style="604" customWidth="1"/>
    <col min="1031" max="1031" width="10.7109375" style="604" customWidth="1"/>
    <col min="1032" max="1033" width="11.28515625" style="604" customWidth="1"/>
    <col min="1034" max="1034" width="17" style="604" customWidth="1"/>
    <col min="1035" max="1035" width="16.28515625" style="604" customWidth="1"/>
    <col min="1036" max="1280" width="10.28515625" style="604"/>
    <col min="1281" max="1281" width="6.42578125" style="604" customWidth="1"/>
    <col min="1282" max="1282" width="58.28515625" style="604" customWidth="1"/>
    <col min="1283" max="1283" width="10.28515625" style="604"/>
    <col min="1284" max="1284" width="11" style="604" customWidth="1"/>
    <col min="1285" max="1286" width="9.7109375" style="604" customWidth="1"/>
    <col min="1287" max="1287" width="10.7109375" style="604" customWidth="1"/>
    <col min="1288" max="1289" width="11.28515625" style="604" customWidth="1"/>
    <col min="1290" max="1290" width="17" style="604" customWidth="1"/>
    <col min="1291" max="1291" width="16.28515625" style="604" customWidth="1"/>
    <col min="1292" max="1536" width="10.28515625" style="604"/>
    <col min="1537" max="1537" width="6.42578125" style="604" customWidth="1"/>
    <col min="1538" max="1538" width="58.28515625" style="604" customWidth="1"/>
    <col min="1539" max="1539" width="10.28515625" style="604"/>
    <col min="1540" max="1540" width="11" style="604" customWidth="1"/>
    <col min="1541" max="1542" width="9.7109375" style="604" customWidth="1"/>
    <col min="1543" max="1543" width="10.7109375" style="604" customWidth="1"/>
    <col min="1544" max="1545" width="11.28515625" style="604" customWidth="1"/>
    <col min="1546" max="1546" width="17" style="604" customWidth="1"/>
    <col min="1547" max="1547" width="16.28515625" style="604" customWidth="1"/>
    <col min="1548" max="1792" width="10.28515625" style="604"/>
    <col min="1793" max="1793" width="6.42578125" style="604" customWidth="1"/>
    <col min="1794" max="1794" width="58.28515625" style="604" customWidth="1"/>
    <col min="1795" max="1795" width="10.28515625" style="604"/>
    <col min="1796" max="1796" width="11" style="604" customWidth="1"/>
    <col min="1797" max="1798" width="9.7109375" style="604" customWidth="1"/>
    <col min="1799" max="1799" width="10.7109375" style="604" customWidth="1"/>
    <col min="1800" max="1801" width="11.28515625" style="604" customWidth="1"/>
    <col min="1802" max="1802" width="17" style="604" customWidth="1"/>
    <col min="1803" max="1803" width="16.28515625" style="604" customWidth="1"/>
    <col min="1804" max="2048" width="10.28515625" style="604"/>
    <col min="2049" max="2049" width="6.42578125" style="604" customWidth="1"/>
    <col min="2050" max="2050" width="58.28515625" style="604" customWidth="1"/>
    <col min="2051" max="2051" width="10.28515625" style="604"/>
    <col min="2052" max="2052" width="11" style="604" customWidth="1"/>
    <col min="2053" max="2054" width="9.7109375" style="604" customWidth="1"/>
    <col min="2055" max="2055" width="10.7109375" style="604" customWidth="1"/>
    <col min="2056" max="2057" width="11.28515625" style="604" customWidth="1"/>
    <col min="2058" max="2058" width="17" style="604" customWidth="1"/>
    <col min="2059" max="2059" width="16.28515625" style="604" customWidth="1"/>
    <col min="2060" max="2304" width="10.28515625" style="604"/>
    <col min="2305" max="2305" width="6.42578125" style="604" customWidth="1"/>
    <col min="2306" max="2306" width="58.28515625" style="604" customWidth="1"/>
    <col min="2307" max="2307" width="10.28515625" style="604"/>
    <col min="2308" max="2308" width="11" style="604" customWidth="1"/>
    <col min="2309" max="2310" width="9.7109375" style="604" customWidth="1"/>
    <col min="2311" max="2311" width="10.7109375" style="604" customWidth="1"/>
    <col min="2312" max="2313" width="11.28515625" style="604" customWidth="1"/>
    <col min="2314" max="2314" width="17" style="604" customWidth="1"/>
    <col min="2315" max="2315" width="16.28515625" style="604" customWidth="1"/>
    <col min="2316" max="2560" width="10.28515625" style="604"/>
    <col min="2561" max="2561" width="6.42578125" style="604" customWidth="1"/>
    <col min="2562" max="2562" width="58.28515625" style="604" customWidth="1"/>
    <col min="2563" max="2563" width="10.28515625" style="604"/>
    <col min="2564" max="2564" width="11" style="604" customWidth="1"/>
    <col min="2565" max="2566" width="9.7109375" style="604" customWidth="1"/>
    <col min="2567" max="2567" width="10.7109375" style="604" customWidth="1"/>
    <col min="2568" max="2569" width="11.28515625" style="604" customWidth="1"/>
    <col min="2570" max="2570" width="17" style="604" customWidth="1"/>
    <col min="2571" max="2571" width="16.28515625" style="604" customWidth="1"/>
    <col min="2572" max="2816" width="10.28515625" style="604"/>
    <col min="2817" max="2817" width="6.42578125" style="604" customWidth="1"/>
    <col min="2818" max="2818" width="58.28515625" style="604" customWidth="1"/>
    <col min="2819" max="2819" width="10.28515625" style="604"/>
    <col min="2820" max="2820" width="11" style="604" customWidth="1"/>
    <col min="2821" max="2822" width="9.7109375" style="604" customWidth="1"/>
    <col min="2823" max="2823" width="10.7109375" style="604" customWidth="1"/>
    <col min="2824" max="2825" width="11.28515625" style="604" customWidth="1"/>
    <col min="2826" max="2826" width="17" style="604" customWidth="1"/>
    <col min="2827" max="2827" width="16.28515625" style="604" customWidth="1"/>
    <col min="2828" max="3072" width="10.28515625" style="604"/>
    <col min="3073" max="3073" width="6.42578125" style="604" customWidth="1"/>
    <col min="3074" max="3074" width="58.28515625" style="604" customWidth="1"/>
    <col min="3075" max="3075" width="10.28515625" style="604"/>
    <col min="3076" max="3076" width="11" style="604" customWidth="1"/>
    <col min="3077" max="3078" width="9.7109375" style="604" customWidth="1"/>
    <col min="3079" max="3079" width="10.7109375" style="604" customWidth="1"/>
    <col min="3080" max="3081" width="11.28515625" style="604" customWidth="1"/>
    <col min="3082" max="3082" width="17" style="604" customWidth="1"/>
    <col min="3083" max="3083" width="16.28515625" style="604" customWidth="1"/>
    <col min="3084" max="3328" width="10.28515625" style="604"/>
    <col min="3329" max="3329" width="6.42578125" style="604" customWidth="1"/>
    <col min="3330" max="3330" width="58.28515625" style="604" customWidth="1"/>
    <col min="3331" max="3331" width="10.28515625" style="604"/>
    <col min="3332" max="3332" width="11" style="604" customWidth="1"/>
    <col min="3333" max="3334" width="9.7109375" style="604" customWidth="1"/>
    <col min="3335" max="3335" width="10.7109375" style="604" customWidth="1"/>
    <col min="3336" max="3337" width="11.28515625" style="604" customWidth="1"/>
    <col min="3338" max="3338" width="17" style="604" customWidth="1"/>
    <col min="3339" max="3339" width="16.28515625" style="604" customWidth="1"/>
    <col min="3340" max="3584" width="10.28515625" style="604"/>
    <col min="3585" max="3585" width="6.42578125" style="604" customWidth="1"/>
    <col min="3586" max="3586" width="58.28515625" style="604" customWidth="1"/>
    <col min="3587" max="3587" width="10.28515625" style="604"/>
    <col min="3588" max="3588" width="11" style="604" customWidth="1"/>
    <col min="3589" max="3590" width="9.7109375" style="604" customWidth="1"/>
    <col min="3591" max="3591" width="10.7109375" style="604" customWidth="1"/>
    <col min="3592" max="3593" width="11.28515625" style="604" customWidth="1"/>
    <col min="3594" max="3594" width="17" style="604" customWidth="1"/>
    <col min="3595" max="3595" width="16.28515625" style="604" customWidth="1"/>
    <col min="3596" max="3840" width="10.28515625" style="604"/>
    <col min="3841" max="3841" width="6.42578125" style="604" customWidth="1"/>
    <col min="3842" max="3842" width="58.28515625" style="604" customWidth="1"/>
    <col min="3843" max="3843" width="10.28515625" style="604"/>
    <col min="3844" max="3844" width="11" style="604" customWidth="1"/>
    <col min="3845" max="3846" width="9.7109375" style="604" customWidth="1"/>
    <col min="3847" max="3847" width="10.7109375" style="604" customWidth="1"/>
    <col min="3848" max="3849" width="11.28515625" style="604" customWidth="1"/>
    <col min="3850" max="3850" width="17" style="604" customWidth="1"/>
    <col min="3851" max="3851" width="16.28515625" style="604" customWidth="1"/>
    <col min="3852" max="4096" width="10.28515625" style="604"/>
    <col min="4097" max="4097" width="6.42578125" style="604" customWidth="1"/>
    <col min="4098" max="4098" width="58.28515625" style="604" customWidth="1"/>
    <col min="4099" max="4099" width="10.28515625" style="604"/>
    <col min="4100" max="4100" width="11" style="604" customWidth="1"/>
    <col min="4101" max="4102" width="9.7109375" style="604" customWidth="1"/>
    <col min="4103" max="4103" width="10.7109375" style="604" customWidth="1"/>
    <col min="4104" max="4105" width="11.28515625" style="604" customWidth="1"/>
    <col min="4106" max="4106" width="17" style="604" customWidth="1"/>
    <col min="4107" max="4107" width="16.28515625" style="604" customWidth="1"/>
    <col min="4108" max="4352" width="10.28515625" style="604"/>
    <col min="4353" max="4353" width="6.42578125" style="604" customWidth="1"/>
    <col min="4354" max="4354" width="58.28515625" style="604" customWidth="1"/>
    <col min="4355" max="4355" width="10.28515625" style="604"/>
    <col min="4356" max="4356" width="11" style="604" customWidth="1"/>
    <col min="4357" max="4358" width="9.7109375" style="604" customWidth="1"/>
    <col min="4359" max="4359" width="10.7109375" style="604" customWidth="1"/>
    <col min="4360" max="4361" width="11.28515625" style="604" customWidth="1"/>
    <col min="4362" max="4362" width="17" style="604" customWidth="1"/>
    <col min="4363" max="4363" width="16.28515625" style="604" customWidth="1"/>
    <col min="4364" max="4608" width="10.28515625" style="604"/>
    <col min="4609" max="4609" width="6.42578125" style="604" customWidth="1"/>
    <col min="4610" max="4610" width="58.28515625" style="604" customWidth="1"/>
    <col min="4611" max="4611" width="10.28515625" style="604"/>
    <col min="4612" max="4612" width="11" style="604" customWidth="1"/>
    <col min="4613" max="4614" width="9.7109375" style="604" customWidth="1"/>
    <col min="4615" max="4615" width="10.7109375" style="604" customWidth="1"/>
    <col min="4616" max="4617" width="11.28515625" style="604" customWidth="1"/>
    <col min="4618" max="4618" width="17" style="604" customWidth="1"/>
    <col min="4619" max="4619" width="16.28515625" style="604" customWidth="1"/>
    <col min="4620" max="4864" width="10.28515625" style="604"/>
    <col min="4865" max="4865" width="6.42578125" style="604" customWidth="1"/>
    <col min="4866" max="4866" width="58.28515625" style="604" customWidth="1"/>
    <col min="4867" max="4867" width="10.28515625" style="604"/>
    <col min="4868" max="4868" width="11" style="604" customWidth="1"/>
    <col min="4869" max="4870" width="9.7109375" style="604" customWidth="1"/>
    <col min="4871" max="4871" width="10.7109375" style="604" customWidth="1"/>
    <col min="4872" max="4873" width="11.28515625" style="604" customWidth="1"/>
    <col min="4874" max="4874" width="17" style="604" customWidth="1"/>
    <col min="4875" max="4875" width="16.28515625" style="604" customWidth="1"/>
    <col min="4876" max="5120" width="10.28515625" style="604"/>
    <col min="5121" max="5121" width="6.42578125" style="604" customWidth="1"/>
    <col min="5122" max="5122" width="58.28515625" style="604" customWidth="1"/>
    <col min="5123" max="5123" width="10.28515625" style="604"/>
    <col min="5124" max="5124" width="11" style="604" customWidth="1"/>
    <col min="5125" max="5126" width="9.7109375" style="604" customWidth="1"/>
    <col min="5127" max="5127" width="10.7109375" style="604" customWidth="1"/>
    <col min="5128" max="5129" width="11.28515625" style="604" customWidth="1"/>
    <col min="5130" max="5130" width="17" style="604" customWidth="1"/>
    <col min="5131" max="5131" width="16.28515625" style="604" customWidth="1"/>
    <col min="5132" max="5376" width="10.28515625" style="604"/>
    <col min="5377" max="5377" width="6.42578125" style="604" customWidth="1"/>
    <col min="5378" max="5378" width="58.28515625" style="604" customWidth="1"/>
    <col min="5379" max="5379" width="10.28515625" style="604"/>
    <col min="5380" max="5380" width="11" style="604" customWidth="1"/>
    <col min="5381" max="5382" width="9.7109375" style="604" customWidth="1"/>
    <col min="5383" max="5383" width="10.7109375" style="604" customWidth="1"/>
    <col min="5384" max="5385" width="11.28515625" style="604" customWidth="1"/>
    <col min="5386" max="5386" width="17" style="604" customWidth="1"/>
    <col min="5387" max="5387" width="16.28515625" style="604" customWidth="1"/>
    <col min="5388" max="5632" width="10.28515625" style="604"/>
    <col min="5633" max="5633" width="6.42578125" style="604" customWidth="1"/>
    <col min="5634" max="5634" width="58.28515625" style="604" customWidth="1"/>
    <col min="5635" max="5635" width="10.28515625" style="604"/>
    <col min="5636" max="5636" width="11" style="604" customWidth="1"/>
    <col min="5637" max="5638" width="9.7109375" style="604" customWidth="1"/>
    <col min="5639" max="5639" width="10.7109375" style="604" customWidth="1"/>
    <col min="5640" max="5641" width="11.28515625" style="604" customWidth="1"/>
    <col min="5642" max="5642" width="17" style="604" customWidth="1"/>
    <col min="5643" max="5643" width="16.28515625" style="604" customWidth="1"/>
    <col min="5644" max="5888" width="10.28515625" style="604"/>
    <col min="5889" max="5889" width="6.42578125" style="604" customWidth="1"/>
    <col min="5890" max="5890" width="58.28515625" style="604" customWidth="1"/>
    <col min="5891" max="5891" width="10.28515625" style="604"/>
    <col min="5892" max="5892" width="11" style="604" customWidth="1"/>
    <col min="5893" max="5894" width="9.7109375" style="604" customWidth="1"/>
    <col min="5895" max="5895" width="10.7109375" style="604" customWidth="1"/>
    <col min="5896" max="5897" width="11.28515625" style="604" customWidth="1"/>
    <col min="5898" max="5898" width="17" style="604" customWidth="1"/>
    <col min="5899" max="5899" width="16.28515625" style="604" customWidth="1"/>
    <col min="5900" max="6144" width="10.28515625" style="604"/>
    <col min="6145" max="6145" width="6.42578125" style="604" customWidth="1"/>
    <col min="6146" max="6146" width="58.28515625" style="604" customWidth="1"/>
    <col min="6147" max="6147" width="10.28515625" style="604"/>
    <col min="6148" max="6148" width="11" style="604" customWidth="1"/>
    <col min="6149" max="6150" width="9.7109375" style="604" customWidth="1"/>
    <col min="6151" max="6151" width="10.7109375" style="604" customWidth="1"/>
    <col min="6152" max="6153" width="11.28515625" style="604" customWidth="1"/>
    <col min="6154" max="6154" width="17" style="604" customWidth="1"/>
    <col min="6155" max="6155" width="16.28515625" style="604" customWidth="1"/>
    <col min="6156" max="6400" width="10.28515625" style="604"/>
    <col min="6401" max="6401" width="6.42578125" style="604" customWidth="1"/>
    <col min="6402" max="6402" width="58.28515625" style="604" customWidth="1"/>
    <col min="6403" max="6403" width="10.28515625" style="604"/>
    <col min="6404" max="6404" width="11" style="604" customWidth="1"/>
    <col min="6405" max="6406" width="9.7109375" style="604" customWidth="1"/>
    <col min="6407" max="6407" width="10.7109375" style="604" customWidth="1"/>
    <col min="6408" max="6409" width="11.28515625" style="604" customWidth="1"/>
    <col min="6410" max="6410" width="17" style="604" customWidth="1"/>
    <col min="6411" max="6411" width="16.28515625" style="604" customWidth="1"/>
    <col min="6412" max="6656" width="10.28515625" style="604"/>
    <col min="6657" max="6657" width="6.42578125" style="604" customWidth="1"/>
    <col min="6658" max="6658" width="58.28515625" style="604" customWidth="1"/>
    <col min="6659" max="6659" width="10.28515625" style="604"/>
    <col min="6660" max="6660" width="11" style="604" customWidth="1"/>
    <col min="6661" max="6662" width="9.7109375" style="604" customWidth="1"/>
    <col min="6663" max="6663" width="10.7109375" style="604" customWidth="1"/>
    <col min="6664" max="6665" width="11.28515625" style="604" customWidth="1"/>
    <col min="6666" max="6666" width="17" style="604" customWidth="1"/>
    <col min="6667" max="6667" width="16.28515625" style="604" customWidth="1"/>
    <col min="6668" max="6912" width="10.28515625" style="604"/>
    <col min="6913" max="6913" width="6.42578125" style="604" customWidth="1"/>
    <col min="6914" max="6914" width="58.28515625" style="604" customWidth="1"/>
    <col min="6915" max="6915" width="10.28515625" style="604"/>
    <col min="6916" max="6916" width="11" style="604" customWidth="1"/>
    <col min="6917" max="6918" width="9.7109375" style="604" customWidth="1"/>
    <col min="6919" max="6919" width="10.7109375" style="604" customWidth="1"/>
    <col min="6920" max="6921" width="11.28515625" style="604" customWidth="1"/>
    <col min="6922" max="6922" width="17" style="604" customWidth="1"/>
    <col min="6923" max="6923" width="16.28515625" style="604" customWidth="1"/>
    <col min="6924" max="7168" width="10.28515625" style="604"/>
    <col min="7169" max="7169" width="6.42578125" style="604" customWidth="1"/>
    <col min="7170" max="7170" width="58.28515625" style="604" customWidth="1"/>
    <col min="7171" max="7171" width="10.28515625" style="604"/>
    <col min="7172" max="7172" width="11" style="604" customWidth="1"/>
    <col min="7173" max="7174" width="9.7109375" style="604" customWidth="1"/>
    <col min="7175" max="7175" width="10.7109375" style="604" customWidth="1"/>
    <col min="7176" max="7177" width="11.28515625" style="604" customWidth="1"/>
    <col min="7178" max="7178" width="17" style="604" customWidth="1"/>
    <col min="7179" max="7179" width="16.28515625" style="604" customWidth="1"/>
    <col min="7180" max="7424" width="10.28515625" style="604"/>
    <col min="7425" max="7425" width="6.42578125" style="604" customWidth="1"/>
    <col min="7426" max="7426" width="58.28515625" style="604" customWidth="1"/>
    <col min="7427" max="7427" width="10.28515625" style="604"/>
    <col min="7428" max="7428" width="11" style="604" customWidth="1"/>
    <col min="7429" max="7430" width="9.7109375" style="604" customWidth="1"/>
    <col min="7431" max="7431" width="10.7109375" style="604" customWidth="1"/>
    <col min="7432" max="7433" width="11.28515625" style="604" customWidth="1"/>
    <col min="7434" max="7434" width="17" style="604" customWidth="1"/>
    <col min="7435" max="7435" width="16.28515625" style="604" customWidth="1"/>
    <col min="7436" max="7680" width="10.28515625" style="604"/>
    <col min="7681" max="7681" width="6.42578125" style="604" customWidth="1"/>
    <col min="7682" max="7682" width="58.28515625" style="604" customWidth="1"/>
    <col min="7683" max="7683" width="10.28515625" style="604"/>
    <col min="7684" max="7684" width="11" style="604" customWidth="1"/>
    <col min="7685" max="7686" width="9.7109375" style="604" customWidth="1"/>
    <col min="7687" max="7687" width="10.7109375" style="604" customWidth="1"/>
    <col min="7688" max="7689" width="11.28515625" style="604" customWidth="1"/>
    <col min="7690" max="7690" width="17" style="604" customWidth="1"/>
    <col min="7691" max="7691" width="16.28515625" style="604" customWidth="1"/>
    <col min="7692" max="7936" width="10.28515625" style="604"/>
    <col min="7937" max="7937" width="6.42578125" style="604" customWidth="1"/>
    <col min="7938" max="7938" width="58.28515625" style="604" customWidth="1"/>
    <col min="7939" max="7939" width="10.28515625" style="604"/>
    <col min="7940" max="7940" width="11" style="604" customWidth="1"/>
    <col min="7941" max="7942" width="9.7109375" style="604" customWidth="1"/>
    <col min="7943" max="7943" width="10.7109375" style="604" customWidth="1"/>
    <col min="7944" max="7945" width="11.28515625" style="604" customWidth="1"/>
    <col min="7946" max="7946" width="17" style="604" customWidth="1"/>
    <col min="7947" max="7947" width="16.28515625" style="604" customWidth="1"/>
    <col min="7948" max="8192" width="10.28515625" style="604"/>
    <col min="8193" max="8193" width="6.42578125" style="604" customWidth="1"/>
    <col min="8194" max="8194" width="58.28515625" style="604" customWidth="1"/>
    <col min="8195" max="8195" width="10.28515625" style="604"/>
    <col min="8196" max="8196" width="11" style="604" customWidth="1"/>
    <col min="8197" max="8198" width="9.7109375" style="604" customWidth="1"/>
    <col min="8199" max="8199" width="10.7109375" style="604" customWidth="1"/>
    <col min="8200" max="8201" width="11.28515625" style="604" customWidth="1"/>
    <col min="8202" max="8202" width="17" style="604" customWidth="1"/>
    <col min="8203" max="8203" width="16.28515625" style="604" customWidth="1"/>
    <col min="8204" max="8448" width="10.28515625" style="604"/>
    <col min="8449" max="8449" width="6.42578125" style="604" customWidth="1"/>
    <col min="8450" max="8450" width="58.28515625" style="604" customWidth="1"/>
    <col min="8451" max="8451" width="10.28515625" style="604"/>
    <col min="8452" max="8452" width="11" style="604" customWidth="1"/>
    <col min="8453" max="8454" width="9.7109375" style="604" customWidth="1"/>
    <col min="8455" max="8455" width="10.7109375" style="604" customWidth="1"/>
    <col min="8456" max="8457" width="11.28515625" style="604" customWidth="1"/>
    <col min="8458" max="8458" width="17" style="604" customWidth="1"/>
    <col min="8459" max="8459" width="16.28515625" style="604" customWidth="1"/>
    <col min="8460" max="8704" width="10.28515625" style="604"/>
    <col min="8705" max="8705" width="6.42578125" style="604" customWidth="1"/>
    <col min="8706" max="8706" width="58.28515625" style="604" customWidth="1"/>
    <col min="8707" max="8707" width="10.28515625" style="604"/>
    <col min="8708" max="8708" width="11" style="604" customWidth="1"/>
    <col min="8709" max="8710" width="9.7109375" style="604" customWidth="1"/>
    <col min="8711" max="8711" width="10.7109375" style="604" customWidth="1"/>
    <col min="8712" max="8713" width="11.28515625" style="604" customWidth="1"/>
    <col min="8714" max="8714" width="17" style="604" customWidth="1"/>
    <col min="8715" max="8715" width="16.28515625" style="604" customWidth="1"/>
    <col min="8716" max="8960" width="10.28515625" style="604"/>
    <col min="8961" max="8961" width="6.42578125" style="604" customWidth="1"/>
    <col min="8962" max="8962" width="58.28515625" style="604" customWidth="1"/>
    <col min="8963" max="8963" width="10.28515625" style="604"/>
    <col min="8964" max="8964" width="11" style="604" customWidth="1"/>
    <col min="8965" max="8966" width="9.7109375" style="604" customWidth="1"/>
    <col min="8967" max="8967" width="10.7109375" style="604" customWidth="1"/>
    <col min="8968" max="8969" width="11.28515625" style="604" customWidth="1"/>
    <col min="8970" max="8970" width="17" style="604" customWidth="1"/>
    <col min="8971" max="8971" width="16.28515625" style="604" customWidth="1"/>
    <col min="8972" max="9216" width="10.28515625" style="604"/>
    <col min="9217" max="9217" width="6.42578125" style="604" customWidth="1"/>
    <col min="9218" max="9218" width="58.28515625" style="604" customWidth="1"/>
    <col min="9219" max="9219" width="10.28515625" style="604"/>
    <col min="9220" max="9220" width="11" style="604" customWidth="1"/>
    <col min="9221" max="9222" width="9.7109375" style="604" customWidth="1"/>
    <col min="9223" max="9223" width="10.7109375" style="604" customWidth="1"/>
    <col min="9224" max="9225" width="11.28515625" style="604" customWidth="1"/>
    <col min="9226" max="9226" width="17" style="604" customWidth="1"/>
    <col min="9227" max="9227" width="16.28515625" style="604" customWidth="1"/>
    <col min="9228" max="9472" width="10.28515625" style="604"/>
    <col min="9473" max="9473" width="6.42578125" style="604" customWidth="1"/>
    <col min="9474" max="9474" width="58.28515625" style="604" customWidth="1"/>
    <col min="9475" max="9475" width="10.28515625" style="604"/>
    <col min="9476" max="9476" width="11" style="604" customWidth="1"/>
    <col min="9477" max="9478" width="9.7109375" style="604" customWidth="1"/>
    <col min="9479" max="9479" width="10.7109375" style="604" customWidth="1"/>
    <col min="9480" max="9481" width="11.28515625" style="604" customWidth="1"/>
    <col min="9482" max="9482" width="17" style="604" customWidth="1"/>
    <col min="9483" max="9483" width="16.28515625" style="604" customWidth="1"/>
    <col min="9484" max="9728" width="10.28515625" style="604"/>
    <col min="9729" max="9729" width="6.42578125" style="604" customWidth="1"/>
    <col min="9730" max="9730" width="58.28515625" style="604" customWidth="1"/>
    <col min="9731" max="9731" width="10.28515625" style="604"/>
    <col min="9732" max="9732" width="11" style="604" customWidth="1"/>
    <col min="9733" max="9734" width="9.7109375" style="604" customWidth="1"/>
    <col min="9735" max="9735" width="10.7109375" style="604" customWidth="1"/>
    <col min="9736" max="9737" width="11.28515625" style="604" customWidth="1"/>
    <col min="9738" max="9738" width="17" style="604" customWidth="1"/>
    <col min="9739" max="9739" width="16.28515625" style="604" customWidth="1"/>
    <col min="9740" max="9984" width="10.28515625" style="604"/>
    <col min="9985" max="9985" width="6.42578125" style="604" customWidth="1"/>
    <col min="9986" max="9986" width="58.28515625" style="604" customWidth="1"/>
    <col min="9987" max="9987" width="10.28515625" style="604"/>
    <col min="9988" max="9988" width="11" style="604" customWidth="1"/>
    <col min="9989" max="9990" width="9.7109375" style="604" customWidth="1"/>
    <col min="9991" max="9991" width="10.7109375" style="604" customWidth="1"/>
    <col min="9992" max="9993" width="11.28515625" style="604" customWidth="1"/>
    <col min="9994" max="9994" width="17" style="604" customWidth="1"/>
    <col min="9995" max="9995" width="16.28515625" style="604" customWidth="1"/>
    <col min="9996" max="10240" width="10.28515625" style="604"/>
    <col min="10241" max="10241" width="6.42578125" style="604" customWidth="1"/>
    <col min="10242" max="10242" width="58.28515625" style="604" customWidth="1"/>
    <col min="10243" max="10243" width="10.28515625" style="604"/>
    <col min="10244" max="10244" width="11" style="604" customWidth="1"/>
    <col min="10245" max="10246" width="9.7109375" style="604" customWidth="1"/>
    <col min="10247" max="10247" width="10.7109375" style="604" customWidth="1"/>
    <col min="10248" max="10249" width="11.28515625" style="604" customWidth="1"/>
    <col min="10250" max="10250" width="17" style="604" customWidth="1"/>
    <col min="10251" max="10251" width="16.28515625" style="604" customWidth="1"/>
    <col min="10252" max="10496" width="10.28515625" style="604"/>
    <col min="10497" max="10497" width="6.42578125" style="604" customWidth="1"/>
    <col min="10498" max="10498" width="58.28515625" style="604" customWidth="1"/>
    <col min="10499" max="10499" width="10.28515625" style="604"/>
    <col min="10500" max="10500" width="11" style="604" customWidth="1"/>
    <col min="10501" max="10502" width="9.7109375" style="604" customWidth="1"/>
    <col min="10503" max="10503" width="10.7109375" style="604" customWidth="1"/>
    <col min="10504" max="10505" width="11.28515625" style="604" customWidth="1"/>
    <col min="10506" max="10506" width="17" style="604" customWidth="1"/>
    <col min="10507" max="10507" width="16.28515625" style="604" customWidth="1"/>
    <col min="10508" max="10752" width="10.28515625" style="604"/>
    <col min="10753" max="10753" width="6.42578125" style="604" customWidth="1"/>
    <col min="10754" max="10754" width="58.28515625" style="604" customWidth="1"/>
    <col min="10755" max="10755" width="10.28515625" style="604"/>
    <col min="10756" max="10756" width="11" style="604" customWidth="1"/>
    <col min="10757" max="10758" width="9.7109375" style="604" customWidth="1"/>
    <col min="10759" max="10759" width="10.7109375" style="604" customWidth="1"/>
    <col min="10760" max="10761" width="11.28515625" style="604" customWidth="1"/>
    <col min="10762" max="10762" width="17" style="604" customWidth="1"/>
    <col min="10763" max="10763" width="16.28515625" style="604" customWidth="1"/>
    <col min="10764" max="11008" width="10.28515625" style="604"/>
    <col min="11009" max="11009" width="6.42578125" style="604" customWidth="1"/>
    <col min="11010" max="11010" width="58.28515625" style="604" customWidth="1"/>
    <col min="11011" max="11011" width="10.28515625" style="604"/>
    <col min="11012" max="11012" width="11" style="604" customWidth="1"/>
    <col min="11013" max="11014" width="9.7109375" style="604" customWidth="1"/>
    <col min="11015" max="11015" width="10.7109375" style="604" customWidth="1"/>
    <col min="11016" max="11017" width="11.28515625" style="604" customWidth="1"/>
    <col min="11018" max="11018" width="17" style="604" customWidth="1"/>
    <col min="11019" max="11019" width="16.28515625" style="604" customWidth="1"/>
    <col min="11020" max="11264" width="10.28515625" style="604"/>
    <col min="11265" max="11265" width="6.42578125" style="604" customWidth="1"/>
    <col min="11266" max="11266" width="58.28515625" style="604" customWidth="1"/>
    <col min="11267" max="11267" width="10.28515625" style="604"/>
    <col min="11268" max="11268" width="11" style="604" customWidth="1"/>
    <col min="11269" max="11270" width="9.7109375" style="604" customWidth="1"/>
    <col min="11271" max="11271" width="10.7109375" style="604" customWidth="1"/>
    <col min="11272" max="11273" width="11.28515625" style="604" customWidth="1"/>
    <col min="11274" max="11274" width="17" style="604" customWidth="1"/>
    <col min="11275" max="11275" width="16.28515625" style="604" customWidth="1"/>
    <col min="11276" max="11520" width="10.28515625" style="604"/>
    <col min="11521" max="11521" width="6.42578125" style="604" customWidth="1"/>
    <col min="11522" max="11522" width="58.28515625" style="604" customWidth="1"/>
    <col min="11523" max="11523" width="10.28515625" style="604"/>
    <col min="11524" max="11524" width="11" style="604" customWidth="1"/>
    <col min="11525" max="11526" width="9.7109375" style="604" customWidth="1"/>
    <col min="11527" max="11527" width="10.7109375" style="604" customWidth="1"/>
    <col min="11528" max="11529" width="11.28515625" style="604" customWidth="1"/>
    <col min="11530" max="11530" width="17" style="604" customWidth="1"/>
    <col min="11531" max="11531" width="16.28515625" style="604" customWidth="1"/>
    <col min="11532" max="11776" width="10.28515625" style="604"/>
    <col min="11777" max="11777" width="6.42578125" style="604" customWidth="1"/>
    <col min="11778" max="11778" width="58.28515625" style="604" customWidth="1"/>
    <col min="11779" max="11779" width="10.28515625" style="604"/>
    <col min="11780" max="11780" width="11" style="604" customWidth="1"/>
    <col min="11781" max="11782" width="9.7109375" style="604" customWidth="1"/>
    <col min="11783" max="11783" width="10.7109375" style="604" customWidth="1"/>
    <col min="11784" max="11785" width="11.28515625" style="604" customWidth="1"/>
    <col min="11786" max="11786" width="17" style="604" customWidth="1"/>
    <col min="11787" max="11787" width="16.28515625" style="604" customWidth="1"/>
    <col min="11788" max="12032" width="10.28515625" style="604"/>
    <col min="12033" max="12033" width="6.42578125" style="604" customWidth="1"/>
    <col min="12034" max="12034" width="58.28515625" style="604" customWidth="1"/>
    <col min="12035" max="12035" width="10.28515625" style="604"/>
    <col min="12036" max="12036" width="11" style="604" customWidth="1"/>
    <col min="12037" max="12038" width="9.7109375" style="604" customWidth="1"/>
    <col min="12039" max="12039" width="10.7109375" style="604" customWidth="1"/>
    <col min="12040" max="12041" width="11.28515625" style="604" customWidth="1"/>
    <col min="12042" max="12042" width="17" style="604" customWidth="1"/>
    <col min="12043" max="12043" width="16.28515625" style="604" customWidth="1"/>
    <col min="12044" max="12288" width="10.28515625" style="604"/>
    <col min="12289" max="12289" width="6.42578125" style="604" customWidth="1"/>
    <col min="12290" max="12290" width="58.28515625" style="604" customWidth="1"/>
    <col min="12291" max="12291" width="10.28515625" style="604"/>
    <col min="12292" max="12292" width="11" style="604" customWidth="1"/>
    <col min="12293" max="12294" width="9.7109375" style="604" customWidth="1"/>
    <col min="12295" max="12295" width="10.7109375" style="604" customWidth="1"/>
    <col min="12296" max="12297" width="11.28515625" style="604" customWidth="1"/>
    <col min="12298" max="12298" width="17" style="604" customWidth="1"/>
    <col min="12299" max="12299" width="16.28515625" style="604" customWidth="1"/>
    <col min="12300" max="12544" width="10.28515625" style="604"/>
    <col min="12545" max="12545" width="6.42578125" style="604" customWidth="1"/>
    <col min="12546" max="12546" width="58.28515625" style="604" customWidth="1"/>
    <col min="12547" max="12547" width="10.28515625" style="604"/>
    <col min="12548" max="12548" width="11" style="604" customWidth="1"/>
    <col min="12549" max="12550" width="9.7109375" style="604" customWidth="1"/>
    <col min="12551" max="12551" width="10.7109375" style="604" customWidth="1"/>
    <col min="12552" max="12553" width="11.28515625" style="604" customWidth="1"/>
    <col min="12554" max="12554" width="17" style="604" customWidth="1"/>
    <col min="12555" max="12555" width="16.28515625" style="604" customWidth="1"/>
    <col min="12556" max="12800" width="10.28515625" style="604"/>
    <col min="12801" max="12801" width="6.42578125" style="604" customWidth="1"/>
    <col min="12802" max="12802" width="58.28515625" style="604" customWidth="1"/>
    <col min="12803" max="12803" width="10.28515625" style="604"/>
    <col min="12804" max="12804" width="11" style="604" customWidth="1"/>
    <col min="12805" max="12806" width="9.7109375" style="604" customWidth="1"/>
    <col min="12807" max="12807" width="10.7109375" style="604" customWidth="1"/>
    <col min="12808" max="12809" width="11.28515625" style="604" customWidth="1"/>
    <col min="12810" max="12810" width="17" style="604" customWidth="1"/>
    <col min="12811" max="12811" width="16.28515625" style="604" customWidth="1"/>
    <col min="12812" max="13056" width="10.28515625" style="604"/>
    <col min="13057" max="13057" width="6.42578125" style="604" customWidth="1"/>
    <col min="13058" max="13058" width="58.28515625" style="604" customWidth="1"/>
    <col min="13059" max="13059" width="10.28515625" style="604"/>
    <col min="13060" max="13060" width="11" style="604" customWidth="1"/>
    <col min="13061" max="13062" width="9.7109375" style="604" customWidth="1"/>
    <col min="13063" max="13063" width="10.7109375" style="604" customWidth="1"/>
    <col min="13064" max="13065" width="11.28515625" style="604" customWidth="1"/>
    <col min="13066" max="13066" width="17" style="604" customWidth="1"/>
    <col min="13067" max="13067" width="16.28515625" style="604" customWidth="1"/>
    <col min="13068" max="13312" width="10.28515625" style="604"/>
    <col min="13313" max="13313" width="6.42578125" style="604" customWidth="1"/>
    <col min="13314" max="13314" width="58.28515625" style="604" customWidth="1"/>
    <col min="13315" max="13315" width="10.28515625" style="604"/>
    <col min="13316" max="13316" width="11" style="604" customWidth="1"/>
    <col min="13317" max="13318" width="9.7109375" style="604" customWidth="1"/>
    <col min="13319" max="13319" width="10.7109375" style="604" customWidth="1"/>
    <col min="13320" max="13321" width="11.28515625" style="604" customWidth="1"/>
    <col min="13322" max="13322" width="17" style="604" customWidth="1"/>
    <col min="13323" max="13323" width="16.28515625" style="604" customWidth="1"/>
    <col min="13324" max="13568" width="10.28515625" style="604"/>
    <col min="13569" max="13569" width="6.42578125" style="604" customWidth="1"/>
    <col min="13570" max="13570" width="58.28515625" style="604" customWidth="1"/>
    <col min="13571" max="13571" width="10.28515625" style="604"/>
    <col min="13572" max="13572" width="11" style="604" customWidth="1"/>
    <col min="13573" max="13574" width="9.7109375" style="604" customWidth="1"/>
    <col min="13575" max="13575" width="10.7109375" style="604" customWidth="1"/>
    <col min="13576" max="13577" width="11.28515625" style="604" customWidth="1"/>
    <col min="13578" max="13578" width="17" style="604" customWidth="1"/>
    <col min="13579" max="13579" width="16.28515625" style="604" customWidth="1"/>
    <col min="13580" max="13824" width="10.28515625" style="604"/>
    <col min="13825" max="13825" width="6.42578125" style="604" customWidth="1"/>
    <col min="13826" max="13826" width="58.28515625" style="604" customWidth="1"/>
    <col min="13827" max="13827" width="10.28515625" style="604"/>
    <col min="13828" max="13828" width="11" style="604" customWidth="1"/>
    <col min="13829" max="13830" width="9.7109375" style="604" customWidth="1"/>
    <col min="13831" max="13831" width="10.7109375" style="604" customWidth="1"/>
    <col min="13832" max="13833" width="11.28515625" style="604" customWidth="1"/>
    <col min="13834" max="13834" width="17" style="604" customWidth="1"/>
    <col min="13835" max="13835" width="16.28515625" style="604" customWidth="1"/>
    <col min="13836" max="14080" width="10.28515625" style="604"/>
    <col min="14081" max="14081" width="6.42578125" style="604" customWidth="1"/>
    <col min="14082" max="14082" width="58.28515625" style="604" customWidth="1"/>
    <col min="14083" max="14083" width="10.28515625" style="604"/>
    <col min="14084" max="14084" width="11" style="604" customWidth="1"/>
    <col min="14085" max="14086" width="9.7109375" style="604" customWidth="1"/>
    <col min="14087" max="14087" width="10.7109375" style="604" customWidth="1"/>
    <col min="14088" max="14089" width="11.28515625" style="604" customWidth="1"/>
    <col min="14090" max="14090" width="17" style="604" customWidth="1"/>
    <col min="14091" max="14091" width="16.28515625" style="604" customWidth="1"/>
    <col min="14092" max="14336" width="10.28515625" style="604"/>
    <col min="14337" max="14337" width="6.42578125" style="604" customWidth="1"/>
    <col min="14338" max="14338" width="58.28515625" style="604" customWidth="1"/>
    <col min="14339" max="14339" width="10.28515625" style="604"/>
    <col min="14340" max="14340" width="11" style="604" customWidth="1"/>
    <col min="14341" max="14342" width="9.7109375" style="604" customWidth="1"/>
    <col min="14343" max="14343" width="10.7109375" style="604" customWidth="1"/>
    <col min="14344" max="14345" width="11.28515625" style="604" customWidth="1"/>
    <col min="14346" max="14346" width="17" style="604" customWidth="1"/>
    <col min="14347" max="14347" width="16.28515625" style="604" customWidth="1"/>
    <col min="14348" max="14592" width="10.28515625" style="604"/>
    <col min="14593" max="14593" width="6.42578125" style="604" customWidth="1"/>
    <col min="14594" max="14594" width="58.28515625" style="604" customWidth="1"/>
    <col min="14595" max="14595" width="10.28515625" style="604"/>
    <col min="14596" max="14596" width="11" style="604" customWidth="1"/>
    <col min="14597" max="14598" width="9.7109375" style="604" customWidth="1"/>
    <col min="14599" max="14599" width="10.7109375" style="604" customWidth="1"/>
    <col min="14600" max="14601" width="11.28515625" style="604" customWidth="1"/>
    <col min="14602" max="14602" width="17" style="604" customWidth="1"/>
    <col min="14603" max="14603" width="16.28515625" style="604" customWidth="1"/>
    <col min="14604" max="14848" width="10.28515625" style="604"/>
    <col min="14849" max="14849" width="6.42578125" style="604" customWidth="1"/>
    <col min="14850" max="14850" width="58.28515625" style="604" customWidth="1"/>
    <col min="14851" max="14851" width="10.28515625" style="604"/>
    <col min="14852" max="14852" width="11" style="604" customWidth="1"/>
    <col min="14853" max="14854" width="9.7109375" style="604" customWidth="1"/>
    <col min="14855" max="14855" width="10.7109375" style="604" customWidth="1"/>
    <col min="14856" max="14857" width="11.28515625" style="604" customWidth="1"/>
    <col min="14858" max="14858" width="17" style="604" customWidth="1"/>
    <col min="14859" max="14859" width="16.28515625" style="604" customWidth="1"/>
    <col min="14860" max="15104" width="10.28515625" style="604"/>
    <col min="15105" max="15105" width="6.42578125" style="604" customWidth="1"/>
    <col min="15106" max="15106" width="58.28515625" style="604" customWidth="1"/>
    <col min="15107" max="15107" width="10.28515625" style="604"/>
    <col min="15108" max="15108" width="11" style="604" customWidth="1"/>
    <col min="15109" max="15110" width="9.7109375" style="604" customWidth="1"/>
    <col min="15111" max="15111" width="10.7109375" style="604" customWidth="1"/>
    <col min="15112" max="15113" width="11.28515625" style="604" customWidth="1"/>
    <col min="15114" max="15114" width="17" style="604" customWidth="1"/>
    <col min="15115" max="15115" width="16.28515625" style="604" customWidth="1"/>
    <col min="15116" max="15360" width="10.28515625" style="604"/>
    <col min="15361" max="15361" width="6.42578125" style="604" customWidth="1"/>
    <col min="15362" max="15362" width="58.28515625" style="604" customWidth="1"/>
    <col min="15363" max="15363" width="10.28515625" style="604"/>
    <col min="15364" max="15364" width="11" style="604" customWidth="1"/>
    <col min="15365" max="15366" width="9.7109375" style="604" customWidth="1"/>
    <col min="15367" max="15367" width="10.7109375" style="604" customWidth="1"/>
    <col min="15368" max="15369" width="11.28515625" style="604" customWidth="1"/>
    <col min="15370" max="15370" width="17" style="604" customWidth="1"/>
    <col min="15371" max="15371" width="16.28515625" style="604" customWidth="1"/>
    <col min="15372" max="15616" width="10.28515625" style="604"/>
    <col min="15617" max="15617" width="6.42578125" style="604" customWidth="1"/>
    <col min="15618" max="15618" width="58.28515625" style="604" customWidth="1"/>
    <col min="15619" max="15619" width="10.28515625" style="604"/>
    <col min="15620" max="15620" width="11" style="604" customWidth="1"/>
    <col min="15621" max="15622" width="9.7109375" style="604" customWidth="1"/>
    <col min="15623" max="15623" width="10.7109375" style="604" customWidth="1"/>
    <col min="15624" max="15625" width="11.28515625" style="604" customWidth="1"/>
    <col min="15626" max="15626" width="17" style="604" customWidth="1"/>
    <col min="15627" max="15627" width="16.28515625" style="604" customWidth="1"/>
    <col min="15628" max="15872" width="10.28515625" style="604"/>
    <col min="15873" max="15873" width="6.42578125" style="604" customWidth="1"/>
    <col min="15874" max="15874" width="58.28515625" style="604" customWidth="1"/>
    <col min="15875" max="15875" width="10.28515625" style="604"/>
    <col min="15876" max="15876" width="11" style="604" customWidth="1"/>
    <col min="15877" max="15878" width="9.7109375" style="604" customWidth="1"/>
    <col min="15879" max="15879" width="10.7109375" style="604" customWidth="1"/>
    <col min="15880" max="15881" width="11.28515625" style="604" customWidth="1"/>
    <col min="15882" max="15882" width="17" style="604" customWidth="1"/>
    <col min="15883" max="15883" width="16.28515625" style="604" customWidth="1"/>
    <col min="15884" max="16128" width="10.28515625" style="604"/>
    <col min="16129" max="16129" width="6.42578125" style="604" customWidth="1"/>
    <col min="16130" max="16130" width="58.28515625" style="604" customWidth="1"/>
    <col min="16131" max="16131" width="10.28515625" style="604"/>
    <col min="16132" max="16132" width="11" style="604" customWidth="1"/>
    <col min="16133" max="16134" width="9.7109375" style="604" customWidth="1"/>
    <col min="16135" max="16135" width="10.7109375" style="604" customWidth="1"/>
    <col min="16136" max="16137" width="11.28515625" style="604" customWidth="1"/>
    <col min="16138" max="16138" width="17" style="604" customWidth="1"/>
    <col min="16139" max="16139" width="16.28515625" style="604" customWidth="1"/>
    <col min="16140" max="16384" width="10.28515625" style="604"/>
  </cols>
  <sheetData>
    <row r="1" spans="1:12" ht="12" customHeight="1" x14ac:dyDescent="0.2">
      <c r="A1" s="603"/>
      <c r="C1" s="605"/>
      <c r="D1" s="605"/>
      <c r="E1" s="605"/>
      <c r="F1" s="605"/>
      <c r="H1" s="606" t="s">
        <v>941</v>
      </c>
    </row>
    <row r="2" spans="1:12" ht="12" customHeight="1" x14ac:dyDescent="0.2">
      <c r="C2" s="605"/>
      <c r="D2" s="605"/>
      <c r="E2" s="605"/>
      <c r="F2" s="605"/>
      <c r="H2" s="606" t="s">
        <v>942</v>
      </c>
    </row>
    <row r="3" spans="1:12" ht="12" customHeight="1" x14ac:dyDescent="0.2">
      <c r="C3" s="605"/>
      <c r="D3" s="605"/>
      <c r="E3" s="605"/>
      <c r="F3" s="605"/>
      <c r="H3" s="606" t="s">
        <v>81</v>
      </c>
    </row>
    <row r="4" spans="1:12" ht="12" customHeight="1" x14ac:dyDescent="0.2">
      <c r="B4" s="605"/>
      <c r="C4" s="607"/>
      <c r="D4" s="605"/>
      <c r="E4" s="607"/>
      <c r="F4" s="605"/>
      <c r="H4" s="608" t="s">
        <v>82</v>
      </c>
    </row>
    <row r="5" spans="1:12" ht="12" customHeight="1" x14ac:dyDescent="0.2">
      <c r="B5" s="605"/>
      <c r="C5" s="607"/>
      <c r="D5" s="605"/>
      <c r="E5" s="607"/>
      <c r="F5" s="605"/>
      <c r="G5" s="605"/>
      <c r="H5" s="605"/>
    </row>
    <row r="6" spans="1:12" ht="12.75" customHeight="1" x14ac:dyDescent="0.2">
      <c r="A6" s="609" t="s">
        <v>943</v>
      </c>
      <c r="B6" s="609"/>
      <c r="C6" s="609"/>
      <c r="D6" s="609"/>
      <c r="E6" s="609"/>
      <c r="F6" s="609"/>
      <c r="G6" s="609"/>
      <c r="H6" s="609"/>
      <c r="I6" s="609"/>
    </row>
    <row r="7" spans="1:12" ht="11.25" customHeight="1" x14ac:dyDescent="0.2">
      <c r="I7" s="604" t="s">
        <v>2</v>
      </c>
    </row>
    <row r="8" spans="1:12" ht="11.25" customHeight="1" x14ac:dyDescent="0.2">
      <c r="A8" s="610"/>
      <c r="B8" s="610"/>
      <c r="C8" s="611" t="s">
        <v>944</v>
      </c>
      <c r="D8" s="612" t="s">
        <v>945</v>
      </c>
      <c r="E8" s="613" t="s">
        <v>540</v>
      </c>
      <c r="F8" s="614"/>
      <c r="G8" s="613" t="s">
        <v>688</v>
      </c>
      <c r="H8" s="615"/>
      <c r="I8" s="614"/>
    </row>
    <row r="9" spans="1:12" ht="11.25" customHeight="1" x14ac:dyDescent="0.2">
      <c r="A9" s="616"/>
      <c r="B9" s="616"/>
      <c r="C9" s="617"/>
      <c r="D9" s="618" t="s">
        <v>946</v>
      </c>
      <c r="E9" s="611"/>
      <c r="F9" s="611"/>
      <c r="G9" s="613" t="s">
        <v>947</v>
      </c>
      <c r="H9" s="615"/>
      <c r="I9" s="614"/>
    </row>
    <row r="10" spans="1:12" ht="11.25" customHeight="1" x14ac:dyDescent="0.2">
      <c r="A10" s="616"/>
      <c r="B10" s="616"/>
      <c r="C10" s="617" t="s">
        <v>948</v>
      </c>
      <c r="D10" s="618" t="s">
        <v>949</v>
      </c>
      <c r="E10" s="617"/>
      <c r="F10" s="617"/>
      <c r="G10" s="611"/>
      <c r="H10" s="611"/>
      <c r="I10" s="611"/>
    </row>
    <row r="11" spans="1:12" ht="14.25" customHeight="1" x14ac:dyDescent="0.2">
      <c r="A11" s="616" t="s">
        <v>950</v>
      </c>
      <c r="B11" s="616" t="s">
        <v>951</v>
      </c>
      <c r="C11" s="617" t="s">
        <v>952</v>
      </c>
      <c r="D11" s="618" t="s">
        <v>953</v>
      </c>
      <c r="E11" s="617"/>
      <c r="F11" s="617"/>
      <c r="G11" s="617"/>
      <c r="H11" s="617"/>
      <c r="I11" s="617"/>
    </row>
    <row r="12" spans="1:12" ht="32.25" customHeight="1" x14ac:dyDescent="0.2">
      <c r="A12" s="616"/>
      <c r="B12" s="616"/>
      <c r="C12" s="617" t="s">
        <v>954</v>
      </c>
      <c r="D12" s="618" t="s">
        <v>955</v>
      </c>
      <c r="E12" s="617" t="s">
        <v>956</v>
      </c>
      <c r="F12" s="617" t="s">
        <v>957</v>
      </c>
      <c r="G12" s="617" t="s">
        <v>958</v>
      </c>
      <c r="H12" s="617" t="s">
        <v>956</v>
      </c>
      <c r="I12" s="617" t="s">
        <v>957</v>
      </c>
    </row>
    <row r="13" spans="1:12" ht="18.75" customHeight="1" x14ac:dyDescent="0.2">
      <c r="A13" s="619"/>
      <c r="B13" s="619"/>
      <c r="D13" s="620" t="s">
        <v>959</v>
      </c>
      <c r="E13" s="621"/>
      <c r="F13" s="621"/>
      <c r="G13" s="621"/>
      <c r="H13" s="621"/>
      <c r="I13" s="621"/>
    </row>
    <row r="14" spans="1:12" ht="11.25" customHeight="1" x14ac:dyDescent="0.2">
      <c r="A14" s="622">
        <v>1</v>
      </c>
      <c r="B14" s="622">
        <v>2</v>
      </c>
      <c r="C14" s="622">
        <v>3</v>
      </c>
      <c r="D14" s="622">
        <v>4</v>
      </c>
      <c r="E14" s="622">
        <v>5</v>
      </c>
      <c r="F14" s="622">
        <v>6</v>
      </c>
      <c r="G14" s="623">
        <v>7</v>
      </c>
      <c r="H14" s="622">
        <v>8</v>
      </c>
      <c r="I14" s="622">
        <v>9</v>
      </c>
    </row>
    <row r="15" spans="1:12" s="630" customFormat="1" ht="21.75" customHeight="1" x14ac:dyDescent="0.2">
      <c r="A15" s="624"/>
      <c r="B15" s="625" t="s">
        <v>960</v>
      </c>
      <c r="C15" s="626"/>
      <c r="D15" s="627">
        <f>SUM(D16:D17)</f>
        <v>420233576.94999993</v>
      </c>
      <c r="E15" s="627">
        <f t="shared" ref="E15:I15" si="0">SUM(E16:E17)</f>
        <v>212559740.78000003</v>
      </c>
      <c r="F15" s="627">
        <f t="shared" si="0"/>
        <v>207673836.16999999</v>
      </c>
      <c r="G15" s="627">
        <f t="shared" si="0"/>
        <v>197066201.82999998</v>
      </c>
      <c r="H15" s="627">
        <f t="shared" si="0"/>
        <v>51800632.100000009</v>
      </c>
      <c r="I15" s="627">
        <f t="shared" si="0"/>
        <v>145265569.73000002</v>
      </c>
      <c r="J15" s="628"/>
      <c r="K15" s="629"/>
    </row>
    <row r="16" spans="1:12" s="630" customFormat="1" ht="12" customHeight="1" x14ac:dyDescent="0.2">
      <c r="A16" s="631"/>
      <c r="B16" s="1298" t="s">
        <v>961</v>
      </c>
      <c r="C16" s="1299"/>
      <c r="D16" s="1300">
        <f>SUM(D21,D25,D29,D37,D41,D45,D49,D53,D57,D65,D69,D73,D77,D119,D175,D141,D33,D106,D114,D61,D128,D132,D110,D170)</f>
        <v>32029904.760000002</v>
      </c>
      <c r="E16" s="1300">
        <f t="shared" ref="E16:I16" si="1">SUM(E21,E25,E29,E37,E41,E45,E49,E53,E57,E65,E69,E73,E77,E119,E175,E141,E33,E106,E114,E61,E128,E132,E110,E170)</f>
        <v>2665216.0700000003</v>
      </c>
      <c r="F16" s="1300">
        <f t="shared" si="1"/>
        <v>29364688.689999998</v>
      </c>
      <c r="G16" s="1300">
        <f t="shared" si="1"/>
        <v>6489970.1999999993</v>
      </c>
      <c r="H16" s="1300">
        <f t="shared" si="1"/>
        <v>703179.46000000008</v>
      </c>
      <c r="I16" s="1300">
        <f t="shared" si="1"/>
        <v>5786790.7400000002</v>
      </c>
      <c r="J16" s="632">
        <f>G29+G37+G141+G33+G25+G175+G128+G132+G170</f>
        <v>695736.35</v>
      </c>
      <c r="K16" s="633"/>
      <c r="L16" s="629"/>
    </row>
    <row r="17" spans="1:11" s="630" customFormat="1" ht="12" customHeight="1" x14ac:dyDescent="0.2">
      <c r="A17" s="631"/>
      <c r="B17" s="1301" t="s">
        <v>962</v>
      </c>
      <c r="C17" s="1302"/>
      <c r="D17" s="1303">
        <f>SUM(D22,D26,D30,D34,D38,D42,D120,D125,D151,D155,D142,D115,D129,D133,D82,D86,D146,D159,D163,D167,D176,D90,D94,D98,D102,D137)</f>
        <v>388203672.18999994</v>
      </c>
      <c r="E17" s="1303">
        <f t="shared" ref="E17:I17" si="2">SUM(E22,E26,E30,E34,E38,E42,E120,E125,E151,E155,E142,E115,E129,E133,E82,E86,E146,E159,E163,E167,E176,E90,E94,E98,E102,E137)</f>
        <v>209894524.71000004</v>
      </c>
      <c r="F17" s="1303">
        <f t="shared" si="2"/>
        <v>178309147.47999999</v>
      </c>
      <c r="G17" s="1303">
        <f t="shared" si="2"/>
        <v>190576231.63</v>
      </c>
      <c r="H17" s="1303">
        <f t="shared" si="2"/>
        <v>51097452.640000008</v>
      </c>
      <c r="I17" s="1303">
        <f t="shared" si="2"/>
        <v>139478778.99000001</v>
      </c>
      <c r="J17" s="632"/>
      <c r="K17" s="634"/>
    </row>
    <row r="18" spans="1:11" ht="27" customHeight="1" thickBot="1" x14ac:dyDescent="0.25">
      <c r="A18" s="635" t="s">
        <v>963</v>
      </c>
      <c r="B18" s="636" t="s">
        <v>964</v>
      </c>
      <c r="C18" s="637"/>
      <c r="D18" s="638">
        <f>SUM(D21:D22,D25:D26,D29:D30,D33:D34,D37:D38,D41:D42,D45:D46,D49:D50,D53:D54,D57:D58,D65:D66,D69:D70,D73:D74,D77:D78,D61:D62,D81:D82,D85:D86,D89:D90,D93:D94,D97:D98,D101:D102)</f>
        <v>142099558.35000002</v>
      </c>
      <c r="E18" s="638">
        <f t="shared" ref="E18:I18" si="3">SUM(E21:E22,E25:E26,E29:E30,E33:E34,E37:E38,E41:E42,E45:E46,E49:E50,E53:E54,E57:E58,E65:E66,E69:E70,E73:E74,E77:E78,E61:E62,E81:E82,E85:E86,E89:E90,E93:E94,E97:E98,E101:E102)</f>
        <v>50666884.380000003</v>
      </c>
      <c r="F18" s="638">
        <f t="shared" si="3"/>
        <v>91432673.969999984</v>
      </c>
      <c r="G18" s="638">
        <f t="shared" si="3"/>
        <v>80519962.629999995</v>
      </c>
      <c r="H18" s="638">
        <f t="shared" si="3"/>
        <v>25582336.609999999</v>
      </c>
      <c r="I18" s="638">
        <f t="shared" si="3"/>
        <v>54937626.020000003</v>
      </c>
      <c r="J18" s="634"/>
    </row>
    <row r="19" spans="1:11" ht="18.75" customHeight="1" x14ac:dyDescent="0.2">
      <c r="A19" s="639" t="s">
        <v>965</v>
      </c>
      <c r="B19" s="640" t="s">
        <v>727</v>
      </c>
      <c r="C19" s="1304"/>
      <c r="D19" s="1304"/>
      <c r="E19" s="1304"/>
      <c r="F19" s="1305"/>
      <c r="G19" s="1304"/>
      <c r="H19" s="1304"/>
      <c r="I19" s="1305"/>
    </row>
    <row r="20" spans="1:11" ht="11.25" customHeight="1" x14ac:dyDescent="0.25">
      <c r="A20" s="641"/>
      <c r="B20" s="642" t="s">
        <v>966</v>
      </c>
      <c r="C20" s="1306"/>
      <c r="D20" s="1306"/>
      <c r="E20" s="1306"/>
      <c r="F20" s="1307"/>
      <c r="G20" s="1306"/>
      <c r="H20" s="1306"/>
      <c r="I20" s="1307"/>
    </row>
    <row r="21" spans="1:11" x14ac:dyDescent="0.2">
      <c r="A21" s="643"/>
      <c r="B21" s="659" t="s">
        <v>961</v>
      </c>
      <c r="C21" s="644" t="s">
        <v>967</v>
      </c>
      <c r="D21" s="645">
        <f>SUM(E21:F21)</f>
        <v>219744.32</v>
      </c>
      <c r="E21" s="645">
        <v>75461.64</v>
      </c>
      <c r="F21" s="645">
        <v>144282.68</v>
      </c>
      <c r="G21" s="646">
        <f>SUM(H21,I21)</f>
        <v>87292.19</v>
      </c>
      <c r="H21" s="645">
        <f>13093.83</f>
        <v>13093.83</v>
      </c>
      <c r="I21" s="645">
        <f>74198.36</f>
        <v>74198.36</v>
      </c>
      <c r="J21" s="647" t="s">
        <v>968</v>
      </c>
    </row>
    <row r="22" spans="1:11" x14ac:dyDescent="0.2">
      <c r="A22" s="648"/>
      <c r="B22" s="675" t="s">
        <v>962</v>
      </c>
      <c r="C22" s="649" t="s">
        <v>969</v>
      </c>
      <c r="D22" s="645">
        <f>SUM(E22:F22)</f>
        <v>20869215.66</v>
      </c>
      <c r="E22" s="650">
        <v>6440948.46</v>
      </c>
      <c r="F22" s="650">
        <v>14428267.199999999</v>
      </c>
      <c r="G22" s="646">
        <f>SUM(H22,I22)</f>
        <v>13885750.440000001</v>
      </c>
      <c r="H22" s="650">
        <v>4289906.6399999997</v>
      </c>
      <c r="I22" s="650">
        <v>9595843.8000000007</v>
      </c>
    </row>
    <row r="23" spans="1:11" ht="33.75" x14ac:dyDescent="0.2">
      <c r="A23" s="639" t="s">
        <v>970</v>
      </c>
      <c r="B23" s="640" t="s">
        <v>734</v>
      </c>
      <c r="C23" s="1304"/>
      <c r="D23" s="1304"/>
      <c r="E23" s="1304"/>
      <c r="F23" s="1305"/>
      <c r="G23" s="1304"/>
      <c r="H23" s="1304"/>
      <c r="I23" s="1305"/>
    </row>
    <row r="24" spans="1:11" ht="11.25" customHeight="1" x14ac:dyDescent="0.25">
      <c r="A24" s="641"/>
      <c r="B24" s="642" t="s">
        <v>971</v>
      </c>
      <c r="C24" s="1306"/>
      <c r="D24" s="1306"/>
      <c r="E24" s="1306"/>
      <c r="F24" s="1307"/>
      <c r="G24" s="1306"/>
      <c r="H24" s="1306"/>
      <c r="I24" s="1307"/>
    </row>
    <row r="25" spans="1:11" x14ac:dyDescent="0.2">
      <c r="A25" s="643"/>
      <c r="B25" s="659" t="s">
        <v>961</v>
      </c>
      <c r="C25" s="644" t="s">
        <v>967</v>
      </c>
      <c r="D25" s="645">
        <f>SUM(E25:F25)</f>
        <v>0</v>
      </c>
      <c r="E25" s="645"/>
      <c r="F25" s="645"/>
      <c r="G25" s="646">
        <f>SUM(H25:I25)</f>
        <v>0</v>
      </c>
      <c r="H25" s="645"/>
      <c r="I25" s="645"/>
      <c r="J25" s="647"/>
    </row>
    <row r="26" spans="1:11" x14ac:dyDescent="0.2">
      <c r="A26" s="648"/>
      <c r="B26" s="675" t="s">
        <v>962</v>
      </c>
      <c r="C26" s="649" t="s">
        <v>969</v>
      </c>
      <c r="D26" s="645">
        <f>SUM(E26:F26)</f>
        <v>20512835.379999999</v>
      </c>
      <c r="E26" s="650">
        <f>801499.85+2204124.56</f>
        <v>3005624.41</v>
      </c>
      <c r="F26" s="650">
        <f>4668589.59+12838621.38</f>
        <v>17507210.969999999</v>
      </c>
      <c r="G26" s="646">
        <f>SUM(H26:I26)</f>
        <v>15042745.940000001</v>
      </c>
      <c r="H26" s="650">
        <v>2204124.56</v>
      </c>
      <c r="I26" s="650">
        <v>12838621.380000001</v>
      </c>
      <c r="J26" s="647" t="s">
        <v>968</v>
      </c>
    </row>
    <row r="27" spans="1:11" ht="23.25" customHeight="1" x14ac:dyDescent="0.2">
      <c r="A27" s="639" t="s">
        <v>972</v>
      </c>
      <c r="B27" s="640" t="s">
        <v>746</v>
      </c>
      <c r="C27" s="1304"/>
      <c r="D27" s="1304"/>
      <c r="E27" s="1304"/>
      <c r="F27" s="1305"/>
      <c r="G27" s="1304"/>
      <c r="H27" s="1304"/>
      <c r="I27" s="1305"/>
    </row>
    <row r="28" spans="1:11" ht="11.1" customHeight="1" x14ac:dyDescent="0.25">
      <c r="A28" s="641"/>
      <c r="B28" s="642" t="s">
        <v>971</v>
      </c>
      <c r="C28" s="1306"/>
      <c r="D28" s="1306"/>
      <c r="E28" s="1306"/>
      <c r="F28" s="1307"/>
      <c r="G28" s="1306"/>
      <c r="H28" s="1306"/>
      <c r="I28" s="1307"/>
    </row>
    <row r="29" spans="1:11" ht="11.1" customHeight="1" x14ac:dyDescent="0.2">
      <c r="A29" s="643"/>
      <c r="B29" s="659" t="s">
        <v>961</v>
      </c>
      <c r="C29" s="644" t="s">
        <v>967</v>
      </c>
      <c r="D29" s="645">
        <f>SUM(E29,F29)</f>
        <v>0</v>
      </c>
      <c r="E29" s="645"/>
      <c r="F29" s="645"/>
      <c r="G29" s="646">
        <f>SUM(H29,I29)</f>
        <v>0</v>
      </c>
      <c r="H29" s="651"/>
      <c r="I29" s="651"/>
    </row>
    <row r="30" spans="1:11" ht="11.1" customHeight="1" x14ac:dyDescent="0.2">
      <c r="A30" s="648"/>
      <c r="B30" s="675" t="s">
        <v>962</v>
      </c>
      <c r="C30" s="649" t="s">
        <v>973</v>
      </c>
      <c r="D30" s="652">
        <f>SUM(E30:F30)</f>
        <v>4000000</v>
      </c>
      <c r="E30" s="650">
        <f>75000+525000</f>
        <v>600000</v>
      </c>
      <c r="F30" s="650">
        <f>425000+2975000</f>
        <v>3400000</v>
      </c>
      <c r="G30" s="653">
        <f>SUM(H30,I30)</f>
        <v>500000</v>
      </c>
      <c r="H30" s="650">
        <v>75000</v>
      </c>
      <c r="I30" s="650">
        <v>425000</v>
      </c>
      <c r="J30" s="647" t="s">
        <v>968</v>
      </c>
    </row>
    <row r="31" spans="1:11" ht="23.25" customHeight="1" x14ac:dyDescent="0.2">
      <c r="A31" s="639" t="s">
        <v>974</v>
      </c>
      <c r="B31" s="640" t="s">
        <v>744</v>
      </c>
      <c r="C31" s="1304"/>
      <c r="D31" s="1304"/>
      <c r="E31" s="1304"/>
      <c r="F31" s="1305"/>
      <c r="G31" s="1304"/>
      <c r="H31" s="1304"/>
      <c r="I31" s="1305"/>
    </row>
    <row r="32" spans="1:11" ht="11.1" customHeight="1" x14ac:dyDescent="0.25">
      <c r="A32" s="641"/>
      <c r="B32" s="642" t="s">
        <v>971</v>
      </c>
      <c r="C32" s="1306"/>
      <c r="D32" s="1306"/>
      <c r="E32" s="1306"/>
      <c r="F32" s="1307"/>
      <c r="G32" s="1306"/>
      <c r="H32" s="1306"/>
      <c r="I32" s="1307"/>
    </row>
    <row r="33" spans="1:10" ht="11.1" customHeight="1" x14ac:dyDescent="0.2">
      <c r="A33" s="643"/>
      <c r="B33" s="659" t="s">
        <v>961</v>
      </c>
      <c r="C33" s="644" t="s">
        <v>967</v>
      </c>
      <c r="D33" s="645">
        <f>SUM(E33:F33)</f>
        <v>0</v>
      </c>
      <c r="E33" s="645"/>
      <c r="F33" s="645"/>
      <c r="G33" s="646">
        <f>SUM(H33:I33)</f>
        <v>0</v>
      </c>
      <c r="H33" s="645"/>
      <c r="I33" s="645"/>
    </row>
    <row r="34" spans="1:10" ht="11.1" customHeight="1" x14ac:dyDescent="0.2">
      <c r="A34" s="648"/>
      <c r="B34" s="675" t="s">
        <v>962</v>
      </c>
      <c r="C34" s="649" t="s">
        <v>973</v>
      </c>
      <c r="D34" s="645">
        <f>SUM(E34:F34)</f>
        <v>14531843.470000001</v>
      </c>
      <c r="E34" s="650">
        <f>783244.91+783244.91</f>
        <v>1566489.82</v>
      </c>
      <c r="F34" s="650">
        <f>6482676.82+6482676.83</f>
        <v>12965353.65</v>
      </c>
      <c r="G34" s="646">
        <f>SUM(H34:I34)</f>
        <v>14531843.470000001</v>
      </c>
      <c r="H34" s="650">
        <v>1566489.82</v>
      </c>
      <c r="I34" s="650">
        <v>12965353.65</v>
      </c>
      <c r="J34" s="647" t="s">
        <v>968</v>
      </c>
    </row>
    <row r="35" spans="1:10" ht="21" customHeight="1" x14ac:dyDescent="0.2">
      <c r="A35" s="639" t="s">
        <v>975</v>
      </c>
      <c r="B35" s="654" t="s">
        <v>819</v>
      </c>
      <c r="C35" s="655"/>
      <c r="D35" s="656"/>
      <c r="E35" s="656"/>
      <c r="F35" s="657"/>
      <c r="G35" s="656"/>
      <c r="H35" s="656"/>
      <c r="I35" s="657"/>
    </row>
    <row r="36" spans="1:10" ht="11.1" customHeight="1" x14ac:dyDescent="0.2">
      <c r="A36" s="658"/>
      <c r="B36" s="659" t="s">
        <v>966</v>
      </c>
      <c r="C36" s="660"/>
      <c r="D36" s="661"/>
      <c r="E36" s="661"/>
      <c r="F36" s="646"/>
      <c r="G36" s="661"/>
      <c r="H36" s="661"/>
      <c r="I36" s="646"/>
    </row>
    <row r="37" spans="1:10" ht="11.1" customHeight="1" x14ac:dyDescent="0.2">
      <c r="A37" s="658"/>
      <c r="B37" s="1308" t="s">
        <v>961</v>
      </c>
      <c r="C37" s="660" t="s">
        <v>976</v>
      </c>
      <c r="D37" s="651">
        <f>SUM(E37:F37)</f>
        <v>75820</v>
      </c>
      <c r="E37" s="651">
        <v>35570</v>
      </c>
      <c r="F37" s="662">
        <v>40250</v>
      </c>
      <c r="G37" s="632">
        <f>SUM(H37:I37)</f>
        <v>75820</v>
      </c>
      <c r="H37" s="651">
        <v>35570</v>
      </c>
      <c r="I37" s="662">
        <v>40250</v>
      </c>
    </row>
    <row r="38" spans="1:10" ht="11.1" customHeight="1" x14ac:dyDescent="0.2">
      <c r="A38" s="648"/>
      <c r="B38" s="675" t="s">
        <v>962</v>
      </c>
      <c r="C38" s="663" t="s">
        <v>977</v>
      </c>
      <c r="D38" s="652">
        <f>SUM(E38:F38)</f>
        <v>21873286.559999999</v>
      </c>
      <c r="E38" s="652">
        <v>13317775.109999999</v>
      </c>
      <c r="F38" s="652">
        <v>8555511.4499999993</v>
      </c>
      <c r="G38" s="652">
        <f>SUM(H38:I38)</f>
        <v>18242041.719999999</v>
      </c>
      <c r="H38" s="652">
        <v>9515420.0399999991</v>
      </c>
      <c r="I38" s="652">
        <v>8726621.6799999997</v>
      </c>
      <c r="J38" s="647" t="s">
        <v>968</v>
      </c>
    </row>
    <row r="39" spans="1:10" ht="20.25" customHeight="1" x14ac:dyDescent="0.2">
      <c r="A39" s="639" t="s">
        <v>978</v>
      </c>
      <c r="B39" s="664" t="s">
        <v>832</v>
      </c>
      <c r="C39" s="655"/>
      <c r="D39" s="656"/>
      <c r="E39" s="656"/>
      <c r="F39" s="657"/>
      <c r="G39" s="656"/>
      <c r="H39" s="656"/>
      <c r="I39" s="657"/>
    </row>
    <row r="40" spans="1:10" ht="11.1" customHeight="1" x14ac:dyDescent="0.2">
      <c r="A40" s="658"/>
      <c r="B40" s="659" t="s">
        <v>971</v>
      </c>
      <c r="C40" s="660"/>
      <c r="D40" s="661"/>
      <c r="E40" s="661"/>
      <c r="F40" s="646"/>
      <c r="G40" s="661"/>
      <c r="H40" s="661"/>
      <c r="I40" s="646"/>
    </row>
    <row r="41" spans="1:10" ht="11.1" customHeight="1" x14ac:dyDescent="0.2">
      <c r="A41" s="658"/>
      <c r="B41" s="1308" t="s">
        <v>961</v>
      </c>
      <c r="C41" s="660" t="s">
        <v>976</v>
      </c>
      <c r="D41" s="651">
        <f>SUM(E41:F41)</f>
        <v>157587.56</v>
      </c>
      <c r="E41" s="651">
        <f>29258.84+37164.31</f>
        <v>66423.149999999994</v>
      </c>
      <c r="F41" s="662">
        <f>40157.16+51007.25</f>
        <v>91164.41</v>
      </c>
      <c r="G41" s="632">
        <f>SUM(H41:I41)</f>
        <v>88171.56</v>
      </c>
      <c r="H41" s="651">
        <v>37164.31</v>
      </c>
      <c r="I41" s="662">
        <v>51007.25</v>
      </c>
    </row>
    <row r="42" spans="1:10" ht="11.1" customHeight="1" x14ac:dyDescent="0.2">
      <c r="A42" s="648"/>
      <c r="B42" s="675" t="s">
        <v>962</v>
      </c>
      <c r="C42" s="663" t="s">
        <v>977</v>
      </c>
      <c r="D42" s="652">
        <f>SUM(E42:F42)</f>
        <v>32231876.520000003</v>
      </c>
      <c r="E42" s="652">
        <f>22599221.3+347852+168172</f>
        <v>23115245.300000001</v>
      </c>
      <c r="F42" s="652">
        <v>9116631.2200000007</v>
      </c>
      <c r="G42" s="652">
        <f>SUM(H42:I42)</f>
        <v>12630609.129999999</v>
      </c>
      <c r="H42" s="652">
        <v>7085867.0499999998</v>
      </c>
      <c r="I42" s="652">
        <v>5544742.0800000001</v>
      </c>
      <c r="J42" s="647" t="s">
        <v>968</v>
      </c>
    </row>
    <row r="43" spans="1:10" ht="20.25" customHeight="1" x14ac:dyDescent="0.2">
      <c r="A43" s="639" t="s">
        <v>979</v>
      </c>
      <c r="B43" s="664" t="s">
        <v>980</v>
      </c>
      <c r="C43" s="655"/>
      <c r="D43" s="656"/>
      <c r="E43" s="656"/>
      <c r="F43" s="657"/>
      <c r="G43" s="656"/>
      <c r="H43" s="656"/>
      <c r="I43" s="657"/>
    </row>
    <row r="44" spans="1:10" ht="11.1" customHeight="1" x14ac:dyDescent="0.2">
      <c r="A44" s="658"/>
      <c r="B44" s="659" t="s">
        <v>981</v>
      </c>
      <c r="C44" s="660"/>
      <c r="D44" s="661"/>
      <c r="E44" s="661"/>
      <c r="F44" s="646"/>
      <c r="G44" s="661"/>
      <c r="H44" s="661"/>
      <c r="I44" s="646"/>
    </row>
    <row r="45" spans="1:10" ht="11.1" customHeight="1" x14ac:dyDescent="0.2">
      <c r="A45" s="658"/>
      <c r="B45" s="1308" t="s">
        <v>961</v>
      </c>
      <c r="C45" s="660" t="s">
        <v>982</v>
      </c>
      <c r="D45" s="645">
        <f>SUM(E45:F45)</f>
        <v>1979999.98</v>
      </c>
      <c r="E45" s="651">
        <v>109890</v>
      </c>
      <c r="F45" s="662">
        <v>1870109.98</v>
      </c>
      <c r="G45" s="632">
        <f>SUM(H45:I45)</f>
        <v>198000</v>
      </c>
      <c r="H45" s="651">
        <v>10989</v>
      </c>
      <c r="I45" s="662">
        <v>187011</v>
      </c>
      <c r="J45" s="665" t="s">
        <v>968</v>
      </c>
    </row>
    <row r="46" spans="1:10" ht="11.1" customHeight="1" x14ac:dyDescent="0.2">
      <c r="A46" s="648"/>
      <c r="B46" s="675" t="s">
        <v>962</v>
      </c>
      <c r="C46" s="663" t="s">
        <v>983</v>
      </c>
      <c r="D46" s="650">
        <f>SUM(E46:F46)</f>
        <v>0</v>
      </c>
      <c r="E46" s="652"/>
      <c r="F46" s="652"/>
      <c r="G46" s="666">
        <f>SUM(H46:I46)</f>
        <v>0</v>
      </c>
      <c r="H46" s="652"/>
      <c r="I46" s="652"/>
    </row>
    <row r="47" spans="1:10" ht="20.25" customHeight="1" x14ac:dyDescent="0.2">
      <c r="A47" s="639" t="s">
        <v>984</v>
      </c>
      <c r="B47" s="664" t="s">
        <v>985</v>
      </c>
      <c r="C47" s="655"/>
      <c r="D47" s="656"/>
      <c r="E47" s="656"/>
      <c r="F47" s="657"/>
      <c r="G47" s="656"/>
      <c r="H47" s="656"/>
      <c r="I47" s="657"/>
    </row>
    <row r="48" spans="1:10" ht="12.75" customHeight="1" x14ac:dyDescent="0.2">
      <c r="A48" s="658"/>
      <c r="B48" s="667" t="s">
        <v>986</v>
      </c>
      <c r="C48" s="660"/>
      <c r="D48" s="661"/>
      <c r="E48" s="661"/>
      <c r="F48" s="646"/>
      <c r="G48" s="661"/>
      <c r="H48" s="661"/>
      <c r="I48" s="646"/>
    </row>
    <row r="49" spans="1:10" ht="11.1" customHeight="1" x14ac:dyDescent="0.2">
      <c r="A49" s="658"/>
      <c r="B49" s="1308" t="s">
        <v>961</v>
      </c>
      <c r="C49" s="660" t="s">
        <v>982</v>
      </c>
      <c r="D49" s="645">
        <f>SUM(E49:F49)</f>
        <v>4275257.83</v>
      </c>
      <c r="E49" s="651">
        <v>237276.81</v>
      </c>
      <c r="F49" s="662">
        <v>4037981.02</v>
      </c>
      <c r="G49" s="632">
        <f>SUM(H49:I49)</f>
        <v>427612</v>
      </c>
      <c r="H49" s="651">
        <v>23732.47</v>
      </c>
      <c r="I49" s="662">
        <v>403879.53</v>
      </c>
      <c r="J49" s="665" t="s">
        <v>968</v>
      </c>
    </row>
    <row r="50" spans="1:10" ht="11.1" customHeight="1" x14ac:dyDescent="0.2">
      <c r="A50" s="648"/>
      <c r="B50" s="675" t="s">
        <v>962</v>
      </c>
      <c r="C50" s="663" t="s">
        <v>983</v>
      </c>
      <c r="D50" s="645">
        <f>SUM(E50:F50)</f>
        <v>0</v>
      </c>
      <c r="E50" s="652"/>
      <c r="F50" s="652"/>
      <c r="G50" s="632">
        <f>SUM(H50:I50)</f>
        <v>0</v>
      </c>
      <c r="H50" s="652"/>
      <c r="I50" s="652"/>
    </row>
    <row r="51" spans="1:10" ht="22.5" customHeight="1" x14ac:dyDescent="0.2">
      <c r="A51" s="668" t="s">
        <v>987</v>
      </c>
      <c r="B51" s="664" t="s">
        <v>988</v>
      </c>
      <c r="C51" s="655"/>
      <c r="D51" s="656"/>
      <c r="E51" s="656"/>
      <c r="F51" s="657"/>
      <c r="G51" s="656"/>
      <c r="H51" s="656"/>
      <c r="I51" s="657"/>
    </row>
    <row r="52" spans="1:10" ht="15" customHeight="1" x14ac:dyDescent="0.2">
      <c r="A52" s="658"/>
      <c r="B52" s="669" t="s">
        <v>989</v>
      </c>
      <c r="C52" s="660"/>
      <c r="D52" s="661"/>
      <c r="E52" s="661"/>
      <c r="F52" s="646"/>
      <c r="G52" s="661"/>
      <c r="H52" s="661"/>
      <c r="I52" s="646"/>
    </row>
    <row r="53" spans="1:10" ht="11.1" customHeight="1" x14ac:dyDescent="0.2">
      <c r="A53" s="658"/>
      <c r="B53" s="1308" t="s">
        <v>961</v>
      </c>
      <c r="C53" s="660" t="s">
        <v>982</v>
      </c>
      <c r="D53" s="645">
        <f>SUM(E53:F53)</f>
        <v>14544418.199999999</v>
      </c>
      <c r="E53" s="651">
        <v>807215.21</v>
      </c>
      <c r="F53" s="662">
        <v>13737202.99</v>
      </c>
      <c r="G53" s="632">
        <f>SUM(H53:I53)</f>
        <v>1502890</v>
      </c>
      <c r="H53" s="651">
        <v>83410.39</v>
      </c>
      <c r="I53" s="662">
        <v>1419479.61</v>
      </c>
      <c r="J53" s="647" t="s">
        <v>968</v>
      </c>
    </row>
    <row r="54" spans="1:10" ht="11.1" customHeight="1" x14ac:dyDescent="0.2">
      <c r="A54" s="670"/>
      <c r="B54" s="675" t="s">
        <v>962</v>
      </c>
      <c r="C54" s="663" t="s">
        <v>983</v>
      </c>
      <c r="D54" s="645">
        <f>SUM(E54:F54)</f>
        <v>0</v>
      </c>
      <c r="E54" s="652"/>
      <c r="F54" s="652"/>
      <c r="G54" s="632">
        <f>SUM(H54:I54)</f>
        <v>0</v>
      </c>
      <c r="H54" s="652"/>
      <c r="I54" s="652"/>
    </row>
    <row r="55" spans="1:10" ht="23.25" customHeight="1" x14ac:dyDescent="0.2">
      <c r="A55" s="668" t="s">
        <v>990</v>
      </c>
      <c r="B55" s="664" t="s">
        <v>991</v>
      </c>
      <c r="C55" s="655"/>
      <c r="D55" s="656"/>
      <c r="E55" s="656"/>
      <c r="F55" s="657"/>
      <c r="G55" s="656"/>
      <c r="H55" s="656"/>
      <c r="I55" s="657"/>
    </row>
    <row r="56" spans="1:10" ht="11.1" customHeight="1" x14ac:dyDescent="0.2">
      <c r="A56" s="658"/>
      <c r="B56" s="659" t="s">
        <v>966</v>
      </c>
      <c r="C56" s="660"/>
      <c r="D56" s="661"/>
      <c r="E56" s="661"/>
      <c r="F56" s="646"/>
      <c r="G56" s="661"/>
      <c r="H56" s="661"/>
      <c r="I56" s="646"/>
    </row>
    <row r="57" spans="1:10" ht="11.1" customHeight="1" x14ac:dyDescent="0.2">
      <c r="A57" s="658"/>
      <c r="B57" s="1308" t="s">
        <v>961</v>
      </c>
      <c r="C57" s="660" t="s">
        <v>982</v>
      </c>
      <c r="D57" s="645">
        <f>SUM(E57:F57)</f>
        <v>47034.880000000005</v>
      </c>
      <c r="E57" s="651">
        <v>7055.23</v>
      </c>
      <c r="F57" s="662">
        <v>39979.65</v>
      </c>
      <c r="G57" s="632">
        <f>SUM(H57:I57)</f>
        <v>18694.88</v>
      </c>
      <c r="H57" s="651">
        <v>1039.43</v>
      </c>
      <c r="I57" s="662">
        <v>17655.45</v>
      </c>
      <c r="J57" s="647" t="s">
        <v>968</v>
      </c>
    </row>
    <row r="58" spans="1:10" ht="11.1" customHeight="1" x14ac:dyDescent="0.2">
      <c r="A58" s="670"/>
      <c r="B58" s="675" t="s">
        <v>962</v>
      </c>
      <c r="C58" s="663" t="s">
        <v>983</v>
      </c>
      <c r="D58" s="652">
        <f>SUM(E58:F58)</f>
        <v>0</v>
      </c>
      <c r="E58" s="652"/>
      <c r="F58" s="652"/>
      <c r="G58" s="666">
        <f>SUM(H58:I58)</f>
        <v>0</v>
      </c>
      <c r="H58" s="652"/>
      <c r="I58" s="652"/>
    </row>
    <row r="59" spans="1:10" ht="22.5" customHeight="1" x14ac:dyDescent="0.2">
      <c r="A59" s="639" t="s">
        <v>992</v>
      </c>
      <c r="B59" s="640" t="s">
        <v>993</v>
      </c>
      <c r="C59" s="1309"/>
      <c r="D59" s="1304"/>
      <c r="E59" s="1304"/>
      <c r="F59" s="1305"/>
      <c r="G59" s="1304"/>
      <c r="H59" s="1304"/>
      <c r="I59" s="1305"/>
    </row>
    <row r="60" spans="1:10" ht="11.1" customHeight="1" x14ac:dyDescent="0.25">
      <c r="A60" s="641"/>
      <c r="B60" s="642" t="s">
        <v>966</v>
      </c>
      <c r="C60" s="1310"/>
      <c r="D60" s="1306"/>
      <c r="E60" s="1306"/>
      <c r="F60" s="1307"/>
      <c r="G60" s="1306"/>
      <c r="H60" s="1306"/>
      <c r="I60" s="1307"/>
    </row>
    <row r="61" spans="1:10" ht="11.1" customHeight="1" x14ac:dyDescent="0.2">
      <c r="A61" s="658"/>
      <c r="B61" s="659" t="s">
        <v>961</v>
      </c>
      <c r="C61" s="671" t="s">
        <v>982</v>
      </c>
      <c r="D61" s="672">
        <f>SUM(E61:F61)</f>
        <v>292560</v>
      </c>
      <c r="E61" s="672">
        <f>14631.7+1644.64</f>
        <v>16276.34</v>
      </c>
      <c r="F61" s="672">
        <f>248528.3+27755.36</f>
        <v>276283.65999999997</v>
      </c>
      <c r="G61" s="673">
        <f>SUM(H61:I61)</f>
        <v>29400</v>
      </c>
      <c r="H61" s="672">
        <v>1634.64</v>
      </c>
      <c r="I61" s="672">
        <v>27765.360000000001</v>
      </c>
      <c r="J61" s="665" t="s">
        <v>994</v>
      </c>
    </row>
    <row r="62" spans="1:10" ht="11.1" customHeight="1" x14ac:dyDescent="0.2">
      <c r="A62" s="648"/>
      <c r="B62" s="675" t="s">
        <v>962</v>
      </c>
      <c r="C62" s="674" t="s">
        <v>983</v>
      </c>
      <c r="D62" s="672">
        <f>SUM(E62:F62)</f>
        <v>0</v>
      </c>
      <c r="E62" s="675"/>
      <c r="F62" s="676"/>
      <c r="G62" s="673">
        <f>SUM(H62:I62)</f>
        <v>0</v>
      </c>
      <c r="H62" s="675"/>
      <c r="I62" s="676"/>
    </row>
    <row r="63" spans="1:10" ht="20.25" customHeight="1" x14ac:dyDescent="0.2">
      <c r="A63" s="639" t="s">
        <v>995</v>
      </c>
      <c r="B63" s="640" t="s">
        <v>996</v>
      </c>
      <c r="C63" s="1309"/>
      <c r="D63" s="1304"/>
      <c r="E63" s="1304"/>
      <c r="F63" s="1305"/>
      <c r="G63" s="1304"/>
      <c r="H63" s="1304"/>
      <c r="I63" s="1305"/>
    </row>
    <row r="64" spans="1:10" ht="11.1" customHeight="1" x14ac:dyDescent="0.25">
      <c r="A64" s="641"/>
      <c r="B64" s="642" t="s">
        <v>997</v>
      </c>
      <c r="C64" s="1310"/>
      <c r="D64" s="1306"/>
      <c r="E64" s="1306"/>
      <c r="F64" s="1307"/>
      <c r="G64" s="1306"/>
      <c r="H64" s="1306"/>
      <c r="I64" s="1307"/>
    </row>
    <row r="65" spans="1:10" ht="11.1" customHeight="1" x14ac:dyDescent="0.2">
      <c r="A65" s="658"/>
      <c r="B65" s="659" t="s">
        <v>961</v>
      </c>
      <c r="C65" s="671" t="s">
        <v>998</v>
      </c>
      <c r="D65" s="672">
        <f>SUM(E65,F65)</f>
        <v>842994.05999999994</v>
      </c>
      <c r="E65" s="672">
        <f>29578.66+29578.66+29578.9</f>
        <v>88736.22</v>
      </c>
      <c r="F65" s="672">
        <f>251418.61+251418.61+251420.62</f>
        <v>754257.84</v>
      </c>
      <c r="G65" s="673">
        <f>SUM(H65,I65)</f>
        <v>280999.52</v>
      </c>
      <c r="H65" s="672">
        <v>29578.9</v>
      </c>
      <c r="I65" s="672">
        <v>251420.62</v>
      </c>
      <c r="J65" s="647" t="s">
        <v>968</v>
      </c>
    </row>
    <row r="66" spans="1:10" ht="11.1" customHeight="1" x14ac:dyDescent="0.2">
      <c r="A66" s="648"/>
      <c r="B66" s="675" t="s">
        <v>962</v>
      </c>
      <c r="C66" s="674" t="s">
        <v>999</v>
      </c>
      <c r="D66" s="675"/>
      <c r="E66" s="675"/>
      <c r="F66" s="675"/>
      <c r="G66" s="675"/>
      <c r="H66" s="675"/>
      <c r="I66" s="675"/>
    </row>
    <row r="67" spans="1:10" ht="21" customHeight="1" x14ac:dyDescent="0.2">
      <c r="A67" s="639" t="s">
        <v>1000</v>
      </c>
      <c r="B67" s="640" t="s">
        <v>1001</v>
      </c>
      <c r="C67" s="1309"/>
      <c r="D67" s="1304"/>
      <c r="E67" s="1304"/>
      <c r="F67" s="1305"/>
      <c r="G67" s="1304"/>
      <c r="H67" s="1304"/>
      <c r="I67" s="1305"/>
    </row>
    <row r="68" spans="1:10" ht="11.1" customHeight="1" x14ac:dyDescent="0.25">
      <c r="A68" s="641"/>
      <c r="B68" s="642" t="s">
        <v>1002</v>
      </c>
      <c r="C68" s="1310"/>
      <c r="D68" s="1306"/>
      <c r="E68" s="1306"/>
      <c r="F68" s="1307"/>
      <c r="G68" s="1306"/>
      <c r="H68" s="1306"/>
      <c r="I68" s="1307"/>
    </row>
    <row r="69" spans="1:10" ht="11.1" customHeight="1" x14ac:dyDescent="0.2">
      <c r="A69" s="658"/>
      <c r="B69" s="659" t="s">
        <v>961</v>
      </c>
      <c r="C69" s="671" t="s">
        <v>1003</v>
      </c>
      <c r="D69" s="672">
        <f>SUM(E69:F69)</f>
        <v>1138593</v>
      </c>
      <c r="E69" s="672">
        <v>184273</v>
      </c>
      <c r="F69" s="672">
        <v>954320</v>
      </c>
      <c r="G69" s="673">
        <f>SUM(H69:I69)</f>
        <v>411068</v>
      </c>
      <c r="H69" s="672">
        <v>64744</v>
      </c>
      <c r="I69" s="672">
        <v>346324</v>
      </c>
      <c r="J69" s="647" t="s">
        <v>968</v>
      </c>
    </row>
    <row r="70" spans="1:10" ht="11.1" customHeight="1" x14ac:dyDescent="0.2">
      <c r="A70" s="648"/>
      <c r="B70" s="675" t="s">
        <v>962</v>
      </c>
      <c r="C70" s="674" t="s">
        <v>1004</v>
      </c>
      <c r="D70" s="677"/>
      <c r="E70" s="675"/>
      <c r="F70" s="676"/>
      <c r="G70" s="678"/>
      <c r="H70" s="675"/>
      <c r="I70" s="676"/>
    </row>
    <row r="71" spans="1:10" ht="20.25" customHeight="1" x14ac:dyDescent="0.2">
      <c r="A71" s="639" t="s">
        <v>1005</v>
      </c>
      <c r="B71" s="640" t="s">
        <v>1006</v>
      </c>
      <c r="C71" s="1309"/>
      <c r="D71" s="1304"/>
      <c r="E71" s="1304"/>
      <c r="F71" s="1305"/>
      <c r="G71" s="1304"/>
      <c r="H71" s="1304"/>
      <c r="I71" s="1305"/>
    </row>
    <row r="72" spans="1:10" ht="11.1" customHeight="1" x14ac:dyDescent="0.25">
      <c r="A72" s="641"/>
      <c r="B72" s="642" t="s">
        <v>1002</v>
      </c>
      <c r="C72" s="1310"/>
      <c r="D72" s="1306"/>
      <c r="E72" s="1306"/>
      <c r="F72" s="1307"/>
      <c r="G72" s="1306"/>
      <c r="H72" s="1306"/>
      <c r="I72" s="1307"/>
    </row>
    <row r="73" spans="1:10" ht="11.1" customHeight="1" x14ac:dyDescent="0.2">
      <c r="A73" s="658"/>
      <c r="B73" s="659" t="s">
        <v>961</v>
      </c>
      <c r="C73" s="671" t="s">
        <v>1007</v>
      </c>
      <c r="D73" s="672">
        <f>SUM(E73:F73)</f>
        <v>536258.80000000005</v>
      </c>
      <c r="E73" s="672">
        <f>49669.35+64400</f>
        <v>114069.35</v>
      </c>
      <c r="F73" s="672">
        <v>422189.45</v>
      </c>
      <c r="G73" s="673">
        <f>SUM(H73:I73)</f>
        <v>176448.56</v>
      </c>
      <c r="H73" s="672">
        <v>36436.06</v>
      </c>
      <c r="I73" s="672">
        <v>140012.5</v>
      </c>
      <c r="J73" s="647" t="s">
        <v>968</v>
      </c>
    </row>
    <row r="74" spans="1:10" ht="11.1" customHeight="1" x14ac:dyDescent="0.2">
      <c r="A74" s="648"/>
      <c r="B74" s="675" t="s">
        <v>962</v>
      </c>
      <c r="C74" s="674" t="s">
        <v>1008</v>
      </c>
      <c r="D74" s="677"/>
      <c r="E74" s="675"/>
      <c r="F74" s="676"/>
      <c r="G74" s="678"/>
      <c r="H74" s="675"/>
      <c r="I74" s="676"/>
    </row>
    <row r="75" spans="1:10" ht="21.75" customHeight="1" x14ac:dyDescent="0.2">
      <c r="A75" s="639" t="s">
        <v>1009</v>
      </c>
      <c r="B75" s="640" t="s">
        <v>1010</v>
      </c>
      <c r="C75" s="1309"/>
      <c r="D75" s="1304"/>
      <c r="E75" s="1304"/>
      <c r="F75" s="1305"/>
      <c r="G75" s="1304"/>
      <c r="H75" s="1304"/>
      <c r="I75" s="1305"/>
    </row>
    <row r="76" spans="1:10" ht="11.1" customHeight="1" x14ac:dyDescent="0.25">
      <c r="A76" s="641"/>
      <c r="B76" s="642" t="s">
        <v>1002</v>
      </c>
      <c r="C76" s="1310"/>
      <c r="D76" s="1306"/>
      <c r="E76" s="1306"/>
      <c r="F76" s="1307"/>
      <c r="G76" s="1306"/>
      <c r="H76" s="1306"/>
      <c r="I76" s="679"/>
    </row>
    <row r="77" spans="1:10" ht="11.1" customHeight="1" x14ac:dyDescent="0.2">
      <c r="A77" s="658"/>
      <c r="B77" s="659" t="s">
        <v>961</v>
      </c>
      <c r="C77" s="671" t="s">
        <v>998</v>
      </c>
      <c r="D77" s="680">
        <f>SUM(E77:F77)</f>
        <v>1449339.77</v>
      </c>
      <c r="E77" s="681">
        <v>217400.97</v>
      </c>
      <c r="F77" s="682">
        <v>1231938.8</v>
      </c>
      <c r="G77" s="683">
        <f>SUM(H77:I77)</f>
        <v>541477.13</v>
      </c>
      <c r="H77" s="681">
        <v>68887.429999999993</v>
      </c>
      <c r="I77" s="682">
        <v>472589.7</v>
      </c>
      <c r="J77" s="647" t="s">
        <v>968</v>
      </c>
    </row>
    <row r="78" spans="1:10" ht="11.1" customHeight="1" x14ac:dyDescent="0.2">
      <c r="A78" s="648"/>
      <c r="B78" s="675" t="s">
        <v>962</v>
      </c>
      <c r="C78" s="674" t="s">
        <v>999</v>
      </c>
      <c r="D78" s="675"/>
      <c r="E78" s="675"/>
      <c r="F78" s="675"/>
      <c r="G78" s="675"/>
      <c r="H78" s="675"/>
      <c r="I78" s="675"/>
    </row>
    <row r="79" spans="1:10" ht="20.25" customHeight="1" x14ac:dyDescent="0.2">
      <c r="A79" s="639" t="s">
        <v>1011</v>
      </c>
      <c r="B79" s="640" t="s">
        <v>817</v>
      </c>
      <c r="C79" s="1309"/>
      <c r="D79" s="1304"/>
      <c r="E79" s="1304"/>
      <c r="F79" s="1305"/>
      <c r="G79" s="1304"/>
      <c r="H79" s="1304"/>
      <c r="I79" s="1305"/>
    </row>
    <row r="80" spans="1:10" ht="11.1" customHeight="1" x14ac:dyDescent="0.25">
      <c r="A80" s="641"/>
      <c r="B80" s="642" t="s">
        <v>966</v>
      </c>
      <c r="C80" s="1310"/>
      <c r="D80" s="1306"/>
      <c r="E80" s="1306"/>
      <c r="F80" s="1307"/>
      <c r="G80" s="1306"/>
      <c r="H80" s="1306"/>
      <c r="I80" s="679"/>
    </row>
    <row r="81" spans="1:10" ht="11.1" customHeight="1" x14ac:dyDescent="0.2">
      <c r="A81" s="658"/>
      <c r="B81" s="1311" t="s">
        <v>961</v>
      </c>
      <c r="C81" s="684" t="s">
        <v>976</v>
      </c>
      <c r="D81" s="680"/>
      <c r="E81" s="681"/>
      <c r="F81" s="682"/>
      <c r="G81" s="683"/>
      <c r="H81" s="681"/>
      <c r="I81" s="682"/>
      <c r="J81" s="647"/>
    </row>
    <row r="82" spans="1:10" ht="11.1" customHeight="1" x14ac:dyDescent="0.2">
      <c r="A82" s="648"/>
      <c r="B82" s="1312" t="s">
        <v>962</v>
      </c>
      <c r="C82" s="685" t="s">
        <v>1012</v>
      </c>
      <c r="D82" s="680">
        <f>SUM(E82:F82)</f>
        <v>1129366</v>
      </c>
      <c r="E82" s="686">
        <v>169404.9</v>
      </c>
      <c r="F82" s="686">
        <v>959961.1</v>
      </c>
      <c r="G82" s="683">
        <f>SUM(H82:I82)</f>
        <v>1129366</v>
      </c>
      <c r="H82" s="686">
        <v>169404.9</v>
      </c>
      <c r="I82" s="686">
        <v>959961.1</v>
      </c>
      <c r="J82" s="647" t="s">
        <v>968</v>
      </c>
    </row>
    <row r="83" spans="1:10" ht="20.25" customHeight="1" x14ac:dyDescent="0.2">
      <c r="A83" s="639" t="s">
        <v>1013</v>
      </c>
      <c r="B83" s="640" t="s">
        <v>809</v>
      </c>
      <c r="C83" s="1309"/>
      <c r="D83" s="1304"/>
      <c r="E83" s="1304"/>
      <c r="F83" s="1305"/>
      <c r="G83" s="1304"/>
      <c r="H83" s="1304"/>
      <c r="I83" s="1305"/>
    </row>
    <row r="84" spans="1:10" ht="11.1" customHeight="1" x14ac:dyDescent="0.25">
      <c r="A84" s="641"/>
      <c r="B84" s="642" t="s">
        <v>966</v>
      </c>
      <c r="C84" s="1310"/>
      <c r="D84" s="1306"/>
      <c r="E84" s="1306"/>
      <c r="F84" s="1307"/>
      <c r="G84" s="1306"/>
      <c r="H84" s="1306"/>
      <c r="I84" s="679"/>
    </row>
    <row r="85" spans="1:10" ht="11.1" customHeight="1" x14ac:dyDescent="0.2">
      <c r="A85" s="658"/>
      <c r="B85" s="1311" t="s">
        <v>961</v>
      </c>
      <c r="C85" s="684" t="s">
        <v>976</v>
      </c>
      <c r="D85" s="680"/>
      <c r="E85" s="681"/>
      <c r="F85" s="682"/>
      <c r="G85" s="682"/>
      <c r="H85" s="681"/>
      <c r="I85" s="682"/>
    </row>
    <row r="86" spans="1:10" ht="11.1" customHeight="1" x14ac:dyDescent="0.2">
      <c r="A86" s="648"/>
      <c r="B86" s="1312" t="s">
        <v>962</v>
      </c>
      <c r="C86" s="685" t="s">
        <v>1012</v>
      </c>
      <c r="D86" s="687">
        <f>SUM(E86:F86)</f>
        <v>1285397</v>
      </c>
      <c r="E86" s="686">
        <f>192809.55+192809.55</f>
        <v>385619.1</v>
      </c>
      <c r="F86" s="686">
        <v>899777.9</v>
      </c>
      <c r="G86" s="688">
        <f>SUM(H86:I86)</f>
        <v>642698.5</v>
      </c>
      <c r="H86" s="686">
        <v>192809.55</v>
      </c>
      <c r="I86" s="686">
        <v>449888.95</v>
      </c>
    </row>
    <row r="87" spans="1:10" ht="21" customHeight="1" x14ac:dyDescent="0.2">
      <c r="A87" s="639" t="s">
        <v>1014</v>
      </c>
      <c r="B87" s="640" t="s">
        <v>917</v>
      </c>
      <c r="C87" s="1309"/>
      <c r="D87" s="1304"/>
      <c r="E87" s="1304"/>
      <c r="F87" s="1305"/>
      <c r="G87" s="1304"/>
      <c r="H87" s="1304"/>
      <c r="I87" s="1305"/>
    </row>
    <row r="88" spans="1:10" ht="11.1" customHeight="1" x14ac:dyDescent="0.25">
      <c r="A88" s="641"/>
      <c r="B88" s="642" t="s">
        <v>966</v>
      </c>
      <c r="C88" s="1310"/>
      <c r="D88" s="1306"/>
      <c r="E88" s="1306"/>
      <c r="F88" s="1307"/>
      <c r="G88" s="1306"/>
      <c r="H88" s="1306"/>
      <c r="I88" s="679"/>
    </row>
    <row r="89" spans="1:10" ht="11.1" customHeight="1" x14ac:dyDescent="0.2">
      <c r="A89" s="658"/>
      <c r="B89" s="1311" t="s">
        <v>961</v>
      </c>
      <c r="C89" s="684" t="s">
        <v>1015</v>
      </c>
      <c r="D89" s="680"/>
      <c r="E89" s="681"/>
      <c r="F89" s="682"/>
      <c r="G89" s="682"/>
      <c r="H89" s="681"/>
      <c r="I89" s="682"/>
    </row>
    <row r="90" spans="1:10" ht="11.1" customHeight="1" x14ac:dyDescent="0.2">
      <c r="A90" s="648"/>
      <c r="B90" s="1312" t="s">
        <v>962</v>
      </c>
      <c r="C90" s="685" t="s">
        <v>1016</v>
      </c>
      <c r="D90" s="680">
        <f>SUM(E90:F90)</f>
        <v>9212.7799999999988</v>
      </c>
      <c r="E90" s="681">
        <f>5156.78+4056</f>
        <v>9212.7799999999988</v>
      </c>
      <c r="F90" s="675"/>
      <c r="G90" s="682">
        <f>SUM(H90:I90)</f>
        <v>5156.78</v>
      </c>
      <c r="H90" s="681">
        <v>5156.78</v>
      </c>
      <c r="I90" s="686"/>
      <c r="J90" s="647" t="s">
        <v>968</v>
      </c>
    </row>
    <row r="91" spans="1:10" ht="21.75" customHeight="1" x14ac:dyDescent="0.2">
      <c r="A91" s="639" t="s">
        <v>1017</v>
      </c>
      <c r="B91" s="640" t="s">
        <v>919</v>
      </c>
      <c r="C91" s="1309"/>
      <c r="D91" s="1304"/>
      <c r="E91" s="1304"/>
      <c r="F91" s="1305"/>
      <c r="G91" s="1304"/>
      <c r="H91" s="1304"/>
      <c r="I91" s="1305"/>
    </row>
    <row r="92" spans="1:10" ht="11.1" customHeight="1" x14ac:dyDescent="0.25">
      <c r="A92" s="641"/>
      <c r="B92" s="642" t="s">
        <v>966</v>
      </c>
      <c r="C92" s="1310"/>
      <c r="D92" s="1306"/>
      <c r="E92" s="1306"/>
      <c r="F92" s="1307"/>
      <c r="G92" s="1306"/>
      <c r="H92" s="1306"/>
      <c r="I92" s="679"/>
    </row>
    <row r="93" spans="1:10" ht="11.1" customHeight="1" x14ac:dyDescent="0.2">
      <c r="A93" s="658"/>
      <c r="B93" s="1311" t="s">
        <v>961</v>
      </c>
      <c r="C93" s="684" t="s">
        <v>1015</v>
      </c>
      <c r="D93" s="680"/>
      <c r="E93" s="681"/>
      <c r="F93" s="682"/>
      <c r="G93" s="682"/>
      <c r="H93" s="681"/>
      <c r="I93" s="682"/>
    </row>
    <row r="94" spans="1:10" ht="11.1" customHeight="1" x14ac:dyDescent="0.2">
      <c r="A94" s="648"/>
      <c r="B94" s="1312" t="s">
        <v>962</v>
      </c>
      <c r="C94" s="685" t="s">
        <v>1018</v>
      </c>
      <c r="D94" s="680">
        <f>SUM(E94:F94)</f>
        <v>30665.37</v>
      </c>
      <c r="E94" s="681">
        <f>25880.37+2940+1845</f>
        <v>30665.37</v>
      </c>
      <c r="F94" s="675"/>
      <c r="G94" s="682">
        <f>SUM(H94:I94)</f>
        <v>25880.37</v>
      </c>
      <c r="H94" s="681">
        <v>25880.37</v>
      </c>
      <c r="I94" s="686"/>
      <c r="J94" s="647" t="s">
        <v>968</v>
      </c>
    </row>
    <row r="95" spans="1:10" ht="21.75" customHeight="1" x14ac:dyDescent="0.2">
      <c r="A95" s="639" t="s">
        <v>1019</v>
      </c>
      <c r="B95" s="640" t="s">
        <v>922</v>
      </c>
      <c r="C95" s="1309"/>
      <c r="D95" s="1304"/>
      <c r="E95" s="1304"/>
      <c r="F95" s="1305"/>
      <c r="G95" s="1304"/>
      <c r="H95" s="1304"/>
      <c r="I95" s="1305"/>
    </row>
    <row r="96" spans="1:10" ht="11.1" customHeight="1" x14ac:dyDescent="0.25">
      <c r="A96" s="641"/>
      <c r="B96" s="642" t="s">
        <v>966</v>
      </c>
      <c r="C96" s="1310"/>
      <c r="D96" s="1306"/>
      <c r="E96" s="1306"/>
      <c r="F96" s="1307"/>
      <c r="G96" s="1306"/>
      <c r="H96" s="1306"/>
      <c r="I96" s="679"/>
    </row>
    <row r="97" spans="1:10" ht="11.1" customHeight="1" x14ac:dyDescent="0.2">
      <c r="A97" s="658"/>
      <c r="B97" s="1311" t="s">
        <v>961</v>
      </c>
      <c r="C97" s="684" t="s">
        <v>1015</v>
      </c>
      <c r="D97" s="680"/>
      <c r="E97" s="681"/>
      <c r="F97" s="682"/>
      <c r="G97" s="682"/>
      <c r="H97" s="681"/>
      <c r="I97" s="682"/>
    </row>
    <row r="98" spans="1:10" ht="11.1" customHeight="1" x14ac:dyDescent="0.2">
      <c r="A98" s="648"/>
      <c r="B98" s="1312" t="s">
        <v>962</v>
      </c>
      <c r="C98" s="685" t="s">
        <v>1020</v>
      </c>
      <c r="D98" s="680">
        <f>SUM(E98:F98)</f>
        <v>21326.21</v>
      </c>
      <c r="E98" s="681">
        <f>8856.59+12469.62</f>
        <v>21326.21</v>
      </c>
      <c r="F98" s="675"/>
      <c r="G98" s="682">
        <f>SUM(H98:I98)</f>
        <v>8856.59</v>
      </c>
      <c r="H98" s="681">
        <v>8856.59</v>
      </c>
      <c r="I98" s="686"/>
      <c r="J98" s="647" t="s">
        <v>968</v>
      </c>
    </row>
    <row r="99" spans="1:10" ht="21.75" customHeight="1" x14ac:dyDescent="0.2">
      <c r="A99" s="639" t="s">
        <v>1021</v>
      </c>
      <c r="B99" s="640" t="s">
        <v>924</v>
      </c>
      <c r="C99" s="1309"/>
      <c r="D99" s="1304"/>
      <c r="E99" s="1304"/>
      <c r="F99" s="1305"/>
      <c r="G99" s="1304"/>
      <c r="H99" s="1304"/>
      <c r="I99" s="1305"/>
    </row>
    <row r="100" spans="1:10" ht="11.1" customHeight="1" x14ac:dyDescent="0.25">
      <c r="A100" s="641"/>
      <c r="B100" s="642" t="s">
        <v>966</v>
      </c>
      <c r="C100" s="1310"/>
      <c r="D100" s="1306"/>
      <c r="E100" s="1306"/>
      <c r="F100" s="1307"/>
      <c r="G100" s="1306"/>
      <c r="H100" s="1306"/>
      <c r="I100" s="679"/>
    </row>
    <row r="101" spans="1:10" ht="11.1" customHeight="1" x14ac:dyDescent="0.2">
      <c r="A101" s="658"/>
      <c r="B101" s="1311" t="s">
        <v>961</v>
      </c>
      <c r="C101" s="684" t="s">
        <v>1015</v>
      </c>
      <c r="D101" s="680"/>
      <c r="E101" s="681"/>
      <c r="F101" s="682"/>
      <c r="G101" s="682"/>
      <c r="H101" s="681"/>
      <c r="I101" s="682"/>
    </row>
    <row r="102" spans="1:10" ht="11.1" customHeight="1" x14ac:dyDescent="0.2">
      <c r="A102" s="648"/>
      <c r="B102" s="1312" t="s">
        <v>962</v>
      </c>
      <c r="C102" s="685" t="s">
        <v>1022</v>
      </c>
      <c r="D102" s="687">
        <f>SUM(E102:F102)</f>
        <v>44925</v>
      </c>
      <c r="E102" s="686">
        <f>37139.85+7785.15</f>
        <v>44925</v>
      </c>
      <c r="F102" s="675"/>
      <c r="G102" s="688">
        <f>SUM(H102:I102)</f>
        <v>37139.85</v>
      </c>
      <c r="H102" s="686">
        <v>37139.85</v>
      </c>
      <c r="I102" s="686"/>
      <c r="J102" s="647" t="s">
        <v>968</v>
      </c>
    </row>
    <row r="103" spans="1:10" ht="21.75" customHeight="1" thickBot="1" x14ac:dyDescent="0.25">
      <c r="A103" s="689">
        <v>2</v>
      </c>
      <c r="B103" s="636" t="s">
        <v>1023</v>
      </c>
      <c r="C103" s="690"/>
      <c r="D103" s="691">
        <f>SUM(D106,D110,D114)</f>
        <v>5316560.01</v>
      </c>
      <c r="E103" s="691">
        <f t="shared" ref="E103:I103" si="4">SUM(E106,E110,E114)</f>
        <v>445254.15</v>
      </c>
      <c r="F103" s="691">
        <f t="shared" si="4"/>
        <v>4871305.8600000003</v>
      </c>
      <c r="G103" s="691">
        <f t="shared" si="4"/>
        <v>1732921.01</v>
      </c>
      <c r="H103" s="691">
        <f t="shared" si="4"/>
        <v>123639.55</v>
      </c>
      <c r="I103" s="691">
        <f t="shared" si="4"/>
        <v>1609281.46</v>
      </c>
    </row>
    <row r="104" spans="1:10" ht="22.5" customHeight="1" x14ac:dyDescent="0.2">
      <c r="A104" s="668" t="s">
        <v>1024</v>
      </c>
      <c r="B104" s="640" t="s">
        <v>1025</v>
      </c>
      <c r="C104" s="1304"/>
      <c r="D104" s="1304"/>
      <c r="E104" s="1304"/>
      <c r="F104" s="1305"/>
      <c r="G104" s="1304"/>
      <c r="H104" s="1304"/>
      <c r="I104" s="1305"/>
    </row>
    <row r="105" spans="1:10" ht="11.1" customHeight="1" x14ac:dyDescent="0.25">
      <c r="A105" s="658"/>
      <c r="B105" s="642" t="s">
        <v>1026</v>
      </c>
      <c r="C105" s="1306"/>
      <c r="D105" s="1306"/>
      <c r="E105" s="1306"/>
      <c r="F105" s="1307"/>
      <c r="G105" s="1306"/>
      <c r="H105" s="1306"/>
      <c r="I105" s="1307"/>
    </row>
    <row r="106" spans="1:10" ht="11.1" customHeight="1" x14ac:dyDescent="0.2">
      <c r="A106" s="658"/>
      <c r="B106" s="659" t="s">
        <v>961</v>
      </c>
      <c r="C106" s="671" t="s">
        <v>1027</v>
      </c>
      <c r="D106" s="645">
        <f>SUM(E106:F106)</f>
        <v>718851</v>
      </c>
      <c r="E106" s="645">
        <f>82219.62+43436</f>
        <v>125655.62</v>
      </c>
      <c r="F106" s="645">
        <f>388144.38+205051</f>
        <v>593195.38</v>
      </c>
      <c r="G106" s="646">
        <f>SUM(H106:I106)</f>
        <v>248487</v>
      </c>
      <c r="H106" s="645">
        <v>43436</v>
      </c>
      <c r="I106" s="645">
        <v>205051</v>
      </c>
      <c r="J106" s="647" t="s">
        <v>968</v>
      </c>
    </row>
    <row r="107" spans="1:10" ht="11.1" customHeight="1" x14ac:dyDescent="0.2">
      <c r="A107" s="670"/>
      <c r="B107" s="675" t="s">
        <v>962</v>
      </c>
      <c r="C107" s="674" t="s">
        <v>983</v>
      </c>
      <c r="D107" s="652"/>
      <c r="E107" s="650"/>
      <c r="F107" s="650"/>
      <c r="G107" s="653"/>
      <c r="H107" s="650"/>
      <c r="I107" s="650"/>
    </row>
    <row r="108" spans="1:10" ht="21.75" customHeight="1" x14ac:dyDescent="0.2">
      <c r="A108" s="668" t="s">
        <v>1028</v>
      </c>
      <c r="B108" s="640" t="s">
        <v>1029</v>
      </c>
      <c r="C108" s="1304"/>
      <c r="D108" s="1304"/>
      <c r="E108" s="1304"/>
      <c r="F108" s="1305"/>
      <c r="G108" s="1304"/>
      <c r="H108" s="1304"/>
      <c r="I108" s="1305"/>
    </row>
    <row r="109" spans="1:10" ht="11.1" customHeight="1" x14ac:dyDescent="0.25">
      <c r="A109" s="658"/>
      <c r="B109" s="642" t="s">
        <v>1030</v>
      </c>
      <c r="C109" s="1306"/>
      <c r="D109" s="1306"/>
      <c r="E109" s="1306"/>
      <c r="F109" s="1307"/>
      <c r="G109" s="1306"/>
      <c r="H109" s="1306"/>
      <c r="I109" s="1307"/>
    </row>
    <row r="110" spans="1:10" ht="11.1" customHeight="1" x14ac:dyDescent="0.2">
      <c r="A110" s="658"/>
      <c r="B110" s="659" t="s">
        <v>961</v>
      </c>
      <c r="C110" s="671" t="s">
        <v>1027</v>
      </c>
      <c r="D110" s="645">
        <f>SUM(E110:F110)</f>
        <v>718851</v>
      </c>
      <c r="E110" s="645">
        <f>82219.62+43436</f>
        <v>125655.62</v>
      </c>
      <c r="F110" s="645">
        <f>388144.38+205051</f>
        <v>593195.38</v>
      </c>
      <c r="G110" s="646">
        <f>SUM(H110:I110)</f>
        <v>47923</v>
      </c>
      <c r="H110" s="645">
        <v>8378</v>
      </c>
      <c r="I110" s="645">
        <v>39545</v>
      </c>
      <c r="J110" s="647" t="s">
        <v>968</v>
      </c>
    </row>
    <row r="111" spans="1:10" ht="11.1" customHeight="1" x14ac:dyDescent="0.2">
      <c r="A111" s="670"/>
      <c r="B111" s="675" t="s">
        <v>962</v>
      </c>
      <c r="C111" s="674" t="s">
        <v>983</v>
      </c>
      <c r="D111" s="652"/>
      <c r="E111" s="650"/>
      <c r="F111" s="650"/>
      <c r="G111" s="653"/>
      <c r="H111" s="650"/>
      <c r="I111" s="650"/>
    </row>
    <row r="112" spans="1:10" ht="21.75" customHeight="1" x14ac:dyDescent="0.2">
      <c r="A112" s="639" t="s">
        <v>1031</v>
      </c>
      <c r="B112" s="640" t="s">
        <v>776</v>
      </c>
      <c r="C112" s="1309"/>
      <c r="D112" s="1304"/>
      <c r="E112" s="1304"/>
      <c r="F112" s="1305"/>
      <c r="G112" s="1304"/>
      <c r="H112" s="1304"/>
      <c r="I112" s="1305"/>
    </row>
    <row r="113" spans="1:11" ht="11.1" customHeight="1" x14ac:dyDescent="0.25">
      <c r="A113" s="641"/>
      <c r="B113" s="642" t="s">
        <v>966</v>
      </c>
      <c r="C113" s="1310"/>
      <c r="D113" s="1306"/>
      <c r="E113" s="1306"/>
      <c r="F113" s="1307"/>
      <c r="G113" s="1306"/>
      <c r="H113" s="1306"/>
      <c r="I113" s="679"/>
    </row>
    <row r="114" spans="1:11" ht="11.1" customHeight="1" x14ac:dyDescent="0.2">
      <c r="A114" s="658"/>
      <c r="B114" s="659" t="s">
        <v>961</v>
      </c>
      <c r="C114" s="671" t="s">
        <v>1032</v>
      </c>
      <c r="D114" s="680">
        <f>SUM(E114:F114)</f>
        <v>3878858.0100000002</v>
      </c>
      <c r="E114" s="681">
        <f>3682.88+71825.55+76101.71+37245.17+5087.6</f>
        <v>193942.91</v>
      </c>
      <c r="F114" s="682">
        <f>69974.62+1364685.46+1445932.49+707658.13+96664.4</f>
        <v>3684915.1</v>
      </c>
      <c r="G114" s="683">
        <f>SUM(H114:I114)</f>
        <v>1436511.01</v>
      </c>
      <c r="H114" s="681">
        <v>71825.55</v>
      </c>
      <c r="I114" s="682">
        <v>1364685.46</v>
      </c>
      <c r="J114" s="665" t="s">
        <v>968</v>
      </c>
    </row>
    <row r="115" spans="1:11" ht="11.1" customHeight="1" x14ac:dyDescent="0.2">
      <c r="A115" s="648"/>
      <c r="B115" s="675" t="s">
        <v>962</v>
      </c>
      <c r="C115" s="674" t="s">
        <v>1033</v>
      </c>
      <c r="D115" s="680">
        <f>SUM(E115:F115)</f>
        <v>1115436.8800000001</v>
      </c>
      <c r="E115" s="686">
        <v>55771.839999999997</v>
      </c>
      <c r="F115" s="686">
        <v>1059665.04</v>
      </c>
      <c r="G115" s="683">
        <f>SUM(H115:I115)</f>
        <v>1115436.8800000001</v>
      </c>
      <c r="H115" s="686">
        <v>55771.839999999997</v>
      </c>
      <c r="I115" s="686">
        <v>1059665.04</v>
      </c>
    </row>
    <row r="116" spans="1:11" ht="22.5" customHeight="1" thickBot="1" x14ac:dyDescent="0.25">
      <c r="A116" s="689">
        <v>3</v>
      </c>
      <c r="B116" s="636" t="s">
        <v>1034</v>
      </c>
      <c r="C116" s="690"/>
      <c r="D116" s="691">
        <f>SUM(D119:D120)</f>
        <v>934062</v>
      </c>
      <c r="E116" s="691">
        <f t="shared" ref="E116:I116" si="5">SUM(E119:E120)</f>
        <v>346666.1</v>
      </c>
      <c r="F116" s="691">
        <f t="shared" si="5"/>
        <v>587395.9</v>
      </c>
      <c r="G116" s="691">
        <f t="shared" si="5"/>
        <v>660141</v>
      </c>
      <c r="H116" s="691">
        <f t="shared" si="5"/>
        <v>245003.55</v>
      </c>
      <c r="I116" s="691">
        <f t="shared" si="5"/>
        <v>415137.44999999995</v>
      </c>
    </row>
    <row r="117" spans="1:11" ht="20.25" customHeight="1" x14ac:dyDescent="0.2">
      <c r="A117" s="668" t="s">
        <v>1035</v>
      </c>
      <c r="B117" s="640" t="s">
        <v>816</v>
      </c>
      <c r="C117" s="1304"/>
      <c r="D117" s="1304"/>
      <c r="E117" s="1304"/>
      <c r="F117" s="1305"/>
      <c r="G117" s="1304"/>
      <c r="H117" s="1304"/>
      <c r="I117" s="1305"/>
    </row>
    <row r="118" spans="1:11" ht="11.1" customHeight="1" x14ac:dyDescent="0.25">
      <c r="A118" s="658"/>
      <c r="B118" s="642" t="s">
        <v>966</v>
      </c>
      <c r="C118" s="1306"/>
      <c r="D118" s="1306"/>
      <c r="E118" s="1306"/>
      <c r="F118" s="1307"/>
      <c r="G118" s="1306"/>
      <c r="H118" s="1306"/>
      <c r="I118" s="1307"/>
    </row>
    <row r="119" spans="1:11" ht="11.1" customHeight="1" x14ac:dyDescent="0.2">
      <c r="A119" s="658"/>
      <c r="B119" s="659" t="s">
        <v>961</v>
      </c>
      <c r="C119" s="644" t="s">
        <v>976</v>
      </c>
      <c r="D119" s="645">
        <f>SUM(E119:F119)</f>
        <v>533820</v>
      </c>
      <c r="E119" s="645">
        <v>198121</v>
      </c>
      <c r="F119" s="645">
        <v>335699</v>
      </c>
      <c r="G119" s="646">
        <f>SUM(H119:I119)</f>
        <v>299259</v>
      </c>
      <c r="H119" s="645">
        <v>111066.45</v>
      </c>
      <c r="I119" s="645">
        <v>188192.55</v>
      </c>
      <c r="K119" s="633"/>
    </row>
    <row r="120" spans="1:11" ht="11.1" customHeight="1" x14ac:dyDescent="0.2">
      <c r="A120" s="670"/>
      <c r="B120" s="675" t="s">
        <v>962</v>
      </c>
      <c r="C120" s="649" t="s">
        <v>1036</v>
      </c>
      <c r="D120" s="652">
        <f>SUM(E120:F120)</f>
        <v>400242</v>
      </c>
      <c r="E120" s="650">
        <v>148545.1</v>
      </c>
      <c r="F120" s="650">
        <v>251696.9</v>
      </c>
      <c r="G120" s="653">
        <f>SUM(H120:I120)</f>
        <v>360882</v>
      </c>
      <c r="H120" s="650">
        <v>133937.1</v>
      </c>
      <c r="I120" s="650">
        <v>226944.9</v>
      </c>
      <c r="J120" s="647" t="s">
        <v>968</v>
      </c>
      <c r="K120" s="633"/>
    </row>
    <row r="121" spans="1:11" ht="20.25" customHeight="1" thickBot="1" x14ac:dyDescent="0.25">
      <c r="A121" s="635" t="s">
        <v>1037</v>
      </c>
      <c r="B121" s="692" t="s">
        <v>1038</v>
      </c>
      <c r="C121" s="693"/>
      <c r="D121" s="694">
        <f>SUM(D124:D125,D128:D129,D132:D133,D136:D137)</f>
        <v>155349683.14999998</v>
      </c>
      <c r="E121" s="694">
        <f t="shared" ref="E121:I121" si="6">SUM(E124:E125,E128:E129,E132:E133,E136:E137)</f>
        <v>100190814.34999999</v>
      </c>
      <c r="F121" s="694">
        <f t="shared" si="6"/>
        <v>55158868.799999997</v>
      </c>
      <c r="G121" s="694">
        <f t="shared" si="6"/>
        <v>67882583.870000005</v>
      </c>
      <c r="H121" s="694">
        <f t="shared" si="6"/>
        <v>13436215.07</v>
      </c>
      <c r="I121" s="694">
        <f t="shared" si="6"/>
        <v>54446368.799999997</v>
      </c>
    </row>
    <row r="122" spans="1:11" ht="20.25" customHeight="1" x14ac:dyDescent="0.2">
      <c r="A122" s="668" t="s">
        <v>1039</v>
      </c>
      <c r="B122" s="664" t="s">
        <v>723</v>
      </c>
      <c r="C122" s="647"/>
      <c r="D122" s="651"/>
      <c r="E122" s="651"/>
      <c r="F122" s="695"/>
      <c r="G122" s="651"/>
      <c r="H122" s="651"/>
      <c r="I122" s="695"/>
    </row>
    <row r="123" spans="1:11" ht="12" customHeight="1" x14ac:dyDescent="0.2">
      <c r="A123" s="696"/>
      <c r="B123" s="659" t="s">
        <v>966</v>
      </c>
      <c r="C123" s="697"/>
      <c r="D123" s="645"/>
      <c r="E123" s="645"/>
      <c r="F123" s="645"/>
      <c r="G123" s="645"/>
      <c r="H123" s="645"/>
      <c r="I123" s="698"/>
    </row>
    <row r="124" spans="1:11" ht="12" customHeight="1" x14ac:dyDescent="0.2">
      <c r="A124" s="696"/>
      <c r="B124" s="1308" t="s">
        <v>961</v>
      </c>
      <c r="C124" s="644" t="s">
        <v>967</v>
      </c>
      <c r="D124" s="645"/>
      <c r="E124" s="645"/>
      <c r="F124" s="645"/>
      <c r="G124" s="645"/>
      <c r="H124" s="645"/>
      <c r="I124" s="698"/>
      <c r="J124" s="647" t="s">
        <v>968</v>
      </c>
    </row>
    <row r="125" spans="1:11" ht="10.5" customHeight="1" x14ac:dyDescent="0.2">
      <c r="A125" s="699"/>
      <c r="B125" s="675" t="s">
        <v>962</v>
      </c>
      <c r="C125" s="649" t="s">
        <v>969</v>
      </c>
      <c r="D125" s="652">
        <f>SUM(E125:F125)</f>
        <v>59030602.799999997</v>
      </c>
      <c r="E125" s="652">
        <v>16680602.800000001</v>
      </c>
      <c r="F125" s="700">
        <v>42350000</v>
      </c>
      <c r="G125" s="652">
        <f>SUM(H125:I125)</f>
        <v>52644000</v>
      </c>
      <c r="H125" s="652">
        <f>11044000-37500</f>
        <v>11006500</v>
      </c>
      <c r="I125" s="700">
        <v>41637500</v>
      </c>
    </row>
    <row r="126" spans="1:11" ht="21.75" customHeight="1" x14ac:dyDescent="0.2">
      <c r="A126" s="639" t="s">
        <v>1040</v>
      </c>
      <c r="B126" s="640" t="s">
        <v>793</v>
      </c>
      <c r="C126" s="1309"/>
      <c r="D126" s="1304"/>
      <c r="E126" s="1304"/>
      <c r="F126" s="1305"/>
      <c r="G126" s="1304"/>
      <c r="H126" s="1304"/>
      <c r="I126" s="1305"/>
    </row>
    <row r="127" spans="1:11" ht="10.5" customHeight="1" x14ac:dyDescent="0.25">
      <c r="A127" s="641"/>
      <c r="B127" s="659" t="s">
        <v>966</v>
      </c>
      <c r="C127" s="1310"/>
      <c r="D127" s="1306"/>
      <c r="E127" s="1306"/>
      <c r="F127" s="1307"/>
      <c r="G127" s="1306"/>
      <c r="H127" s="1306"/>
      <c r="I127" s="679"/>
    </row>
    <row r="128" spans="1:11" ht="10.5" customHeight="1" x14ac:dyDescent="0.2">
      <c r="A128" s="658"/>
      <c r="B128" s="1308" t="s">
        <v>961</v>
      </c>
      <c r="C128" s="644" t="s">
        <v>1032</v>
      </c>
      <c r="D128" s="680">
        <f>SUM(E128:F128)</f>
        <v>23775</v>
      </c>
      <c r="E128" s="681">
        <v>23775</v>
      </c>
      <c r="F128" s="682"/>
      <c r="G128" s="683">
        <f>SUM(H128:I128)</f>
        <v>23775</v>
      </c>
      <c r="H128" s="681">
        <v>23775</v>
      </c>
      <c r="I128" s="682"/>
    </row>
    <row r="129" spans="1:10" ht="10.5" customHeight="1" x14ac:dyDescent="0.2">
      <c r="A129" s="648"/>
      <c r="B129" s="675" t="s">
        <v>962</v>
      </c>
      <c r="C129" s="649" t="s">
        <v>1041</v>
      </c>
      <c r="D129" s="686">
        <f>SUM(E129:F129)</f>
        <v>7392297.8399999999</v>
      </c>
      <c r="E129" s="686">
        <f>137940+5981431.57</f>
        <v>6119371.5700000003</v>
      </c>
      <c r="F129" s="686">
        <v>1272926.27</v>
      </c>
      <c r="G129" s="686">
        <f>SUM(H129:I129)</f>
        <v>1410866.27</v>
      </c>
      <c r="H129" s="686">
        <v>137940</v>
      </c>
      <c r="I129" s="686">
        <v>1272926.27</v>
      </c>
      <c r="J129" s="647" t="s">
        <v>968</v>
      </c>
    </row>
    <row r="130" spans="1:10" ht="20.25" customHeight="1" x14ac:dyDescent="0.2">
      <c r="A130" s="639" t="s">
        <v>1042</v>
      </c>
      <c r="B130" s="640" t="s">
        <v>798</v>
      </c>
      <c r="C130" s="1309"/>
      <c r="D130" s="1304"/>
      <c r="E130" s="1304"/>
      <c r="F130" s="1305"/>
      <c r="G130" s="1304"/>
      <c r="H130" s="1304"/>
      <c r="I130" s="1305"/>
    </row>
    <row r="131" spans="1:10" ht="10.5" customHeight="1" x14ac:dyDescent="0.25">
      <c r="A131" s="641"/>
      <c r="B131" s="659" t="s">
        <v>966</v>
      </c>
      <c r="C131" s="1310"/>
      <c r="D131" s="1306"/>
      <c r="E131" s="1306"/>
      <c r="F131" s="1307"/>
      <c r="G131" s="1306"/>
      <c r="H131" s="1306"/>
      <c r="I131" s="679"/>
    </row>
    <row r="132" spans="1:10" ht="10.5" customHeight="1" x14ac:dyDescent="0.2">
      <c r="A132" s="658"/>
      <c r="B132" s="1308" t="s">
        <v>961</v>
      </c>
      <c r="C132" s="644" t="s">
        <v>1032</v>
      </c>
      <c r="D132" s="680">
        <f>SUM(E132:F132)</f>
        <v>23775</v>
      </c>
      <c r="E132" s="681">
        <v>23775</v>
      </c>
      <c r="F132" s="682"/>
      <c r="G132" s="683">
        <f>SUM(H132:I132)</f>
        <v>23775</v>
      </c>
      <c r="H132" s="681">
        <v>23775</v>
      </c>
      <c r="I132" s="682"/>
    </row>
    <row r="133" spans="1:10" ht="10.5" customHeight="1" x14ac:dyDescent="0.2">
      <c r="A133" s="648"/>
      <c r="B133" s="675" t="s">
        <v>962</v>
      </c>
      <c r="C133" s="649" t="s">
        <v>1041</v>
      </c>
      <c r="D133" s="686">
        <f>SUM(E133:F133)</f>
        <v>43595923.179999992</v>
      </c>
      <c r="E133" s="686">
        <f>266571.23+38815755.58</f>
        <v>39082326.809999995</v>
      </c>
      <c r="F133" s="686">
        <v>4513596.37</v>
      </c>
      <c r="G133" s="686">
        <f>SUM(H133:I133)</f>
        <v>4780167.5999999996</v>
      </c>
      <c r="H133" s="686">
        <v>266571.23</v>
      </c>
      <c r="I133" s="686">
        <v>4513596.37</v>
      </c>
      <c r="J133" s="647" t="s">
        <v>968</v>
      </c>
    </row>
    <row r="134" spans="1:10" ht="69.75" customHeight="1" x14ac:dyDescent="0.2">
      <c r="A134" s="639" t="s">
        <v>1043</v>
      </c>
      <c r="B134" s="640" t="s">
        <v>1044</v>
      </c>
      <c r="C134" s="1309"/>
      <c r="D134" s="1304"/>
      <c r="E134" s="1304"/>
      <c r="F134" s="1305"/>
      <c r="G134" s="1304"/>
      <c r="H134" s="1304"/>
      <c r="I134" s="1305"/>
      <c r="J134" s="665" t="s">
        <v>968</v>
      </c>
    </row>
    <row r="135" spans="1:10" ht="10.5" customHeight="1" x14ac:dyDescent="0.25">
      <c r="A135" s="641"/>
      <c r="B135" s="659" t="s">
        <v>966</v>
      </c>
      <c r="C135" s="1310"/>
      <c r="D135" s="1306"/>
      <c r="E135" s="1306"/>
      <c r="F135" s="1307"/>
      <c r="G135" s="1306"/>
      <c r="H135" s="1306"/>
      <c r="I135" s="679"/>
      <c r="J135" s="647"/>
    </row>
    <row r="136" spans="1:10" ht="10.5" customHeight="1" x14ac:dyDescent="0.2">
      <c r="A136" s="658"/>
      <c r="B136" s="1308" t="s">
        <v>961</v>
      </c>
      <c r="C136" s="644" t="s">
        <v>1032</v>
      </c>
      <c r="D136" s="680"/>
      <c r="E136" s="681"/>
      <c r="F136" s="682"/>
      <c r="G136" s="683"/>
      <c r="H136" s="681"/>
      <c r="I136" s="682"/>
      <c r="J136" s="647"/>
    </row>
    <row r="137" spans="1:10" ht="10.5" customHeight="1" x14ac:dyDescent="0.2">
      <c r="A137" s="648"/>
      <c r="B137" s="675" t="s">
        <v>962</v>
      </c>
      <c r="C137" s="649" t="s">
        <v>1045</v>
      </c>
      <c r="D137" s="686">
        <f>SUM(E137:F137)</f>
        <v>45283309.329999998</v>
      </c>
      <c r="E137" s="686">
        <f>4609022.1+33651941.07</f>
        <v>38260963.170000002</v>
      </c>
      <c r="F137" s="686">
        <v>7022346.1600000001</v>
      </c>
      <c r="G137" s="686">
        <f>SUM(H137:I137)</f>
        <v>9000000</v>
      </c>
      <c r="H137" s="686">
        <v>1977653.84</v>
      </c>
      <c r="I137" s="686">
        <v>7022346.1600000001</v>
      </c>
      <c r="J137" s="647"/>
    </row>
    <row r="138" spans="1:10" ht="24" customHeight="1" thickBot="1" x14ac:dyDescent="0.25">
      <c r="A138" s="689">
        <v>5</v>
      </c>
      <c r="B138" s="636" t="s">
        <v>1046</v>
      </c>
      <c r="C138" s="690"/>
      <c r="D138" s="691">
        <f>SUM(D141:D142,D145:D146)</f>
        <v>41223728.619999997</v>
      </c>
      <c r="E138" s="691">
        <f t="shared" ref="E138:I138" si="7">SUM(E141:E142,E145:E146)</f>
        <v>36208050.560000002</v>
      </c>
      <c r="F138" s="691">
        <f t="shared" si="7"/>
        <v>5015678.0599999996</v>
      </c>
      <c r="G138" s="691">
        <f t="shared" si="7"/>
        <v>2000000</v>
      </c>
      <c r="H138" s="691">
        <f t="shared" si="7"/>
        <v>1571380</v>
      </c>
      <c r="I138" s="691">
        <f t="shared" si="7"/>
        <v>428620</v>
      </c>
      <c r="J138" s="647"/>
    </row>
    <row r="139" spans="1:10" ht="23.25" customHeight="1" x14ac:dyDescent="0.2">
      <c r="A139" s="668" t="s">
        <v>1047</v>
      </c>
      <c r="B139" s="701" t="s">
        <v>754</v>
      </c>
      <c r="C139" s="647"/>
      <c r="D139" s="651"/>
      <c r="E139" s="651"/>
      <c r="F139" s="651"/>
      <c r="G139" s="651"/>
      <c r="H139" s="651"/>
      <c r="I139" s="695"/>
      <c r="J139" s="647"/>
    </row>
    <row r="140" spans="1:10" ht="11.1" customHeight="1" x14ac:dyDescent="0.2">
      <c r="A140" s="658"/>
      <c r="B140" s="642" t="s">
        <v>971</v>
      </c>
      <c r="C140" s="697"/>
      <c r="D140" s="645"/>
      <c r="E140" s="645"/>
      <c r="F140" s="645"/>
      <c r="G140" s="645"/>
      <c r="H140" s="645"/>
      <c r="I140" s="698"/>
      <c r="J140" s="647"/>
    </row>
    <row r="141" spans="1:10" ht="11.1" customHeight="1" x14ac:dyDescent="0.2">
      <c r="A141" s="658"/>
      <c r="B141" s="659" t="s">
        <v>961</v>
      </c>
      <c r="C141" s="697" t="s">
        <v>967</v>
      </c>
      <c r="D141" s="645">
        <f>SUM(E141:F141)</f>
        <v>0</v>
      </c>
      <c r="E141" s="645"/>
      <c r="F141" s="645"/>
      <c r="G141" s="645">
        <f>SUM(H141:I141)</f>
        <v>0</v>
      </c>
      <c r="H141" s="645"/>
      <c r="I141" s="698"/>
      <c r="J141" s="647"/>
    </row>
    <row r="142" spans="1:10" ht="11.1" customHeight="1" x14ac:dyDescent="0.2">
      <c r="A142" s="670"/>
      <c r="B142" s="675" t="s">
        <v>962</v>
      </c>
      <c r="C142" s="702" t="s">
        <v>1048</v>
      </c>
      <c r="D142" s="652">
        <f>SUM(E142:F142)</f>
        <v>11701928.619999999</v>
      </c>
      <c r="E142" s="652">
        <f>571380+6114870.56</f>
        <v>6686250.5599999996</v>
      </c>
      <c r="F142" s="700">
        <f>428620+4587058.06</f>
        <v>5015678.0599999996</v>
      </c>
      <c r="G142" s="652">
        <f>SUM(H142:I142)</f>
        <v>1000000</v>
      </c>
      <c r="H142" s="652">
        <v>571380</v>
      </c>
      <c r="I142" s="700">
        <v>428620</v>
      </c>
      <c r="J142" s="647" t="s">
        <v>968</v>
      </c>
    </row>
    <row r="143" spans="1:10" ht="20.25" customHeight="1" x14ac:dyDescent="0.2">
      <c r="A143" s="668" t="s">
        <v>1049</v>
      </c>
      <c r="B143" s="701" t="s">
        <v>821</v>
      </c>
      <c r="C143" s="647"/>
      <c r="D143" s="651"/>
      <c r="E143" s="651"/>
      <c r="F143" s="651"/>
      <c r="G143" s="651"/>
      <c r="H143" s="651"/>
      <c r="I143" s="695"/>
      <c r="J143" s="647"/>
    </row>
    <row r="144" spans="1:10" ht="11.1" customHeight="1" x14ac:dyDescent="0.2">
      <c r="A144" s="658"/>
      <c r="B144" s="642" t="s">
        <v>966</v>
      </c>
      <c r="C144" s="697"/>
      <c r="D144" s="645"/>
      <c r="E144" s="645"/>
      <c r="F144" s="645"/>
      <c r="G144" s="645"/>
      <c r="H144" s="645"/>
      <c r="I144" s="698"/>
      <c r="J144" s="647"/>
    </row>
    <row r="145" spans="1:10" ht="11.1" customHeight="1" x14ac:dyDescent="0.2">
      <c r="A145" s="658"/>
      <c r="B145" s="659" t="s">
        <v>961</v>
      </c>
      <c r="C145" s="697" t="s">
        <v>976</v>
      </c>
      <c r="D145" s="645">
        <f>SUM(E145:F145)</f>
        <v>0</v>
      </c>
      <c r="E145" s="645"/>
      <c r="F145" s="645"/>
      <c r="G145" s="645">
        <f>SUM(H145:I145)</f>
        <v>0</v>
      </c>
      <c r="H145" s="645"/>
      <c r="I145" s="698"/>
      <c r="J145" s="647"/>
    </row>
    <row r="146" spans="1:10" ht="11.1" customHeight="1" x14ac:dyDescent="0.2">
      <c r="A146" s="670"/>
      <c r="B146" s="675" t="s">
        <v>962</v>
      </c>
      <c r="C146" s="702" t="s">
        <v>977</v>
      </c>
      <c r="D146" s="645">
        <f>SUM(E146:F146)</f>
        <v>29521800</v>
      </c>
      <c r="E146" s="652">
        <v>29521800</v>
      </c>
      <c r="F146" s="700"/>
      <c r="G146" s="645">
        <f>SUM(H146:I146)</f>
        <v>1000000</v>
      </c>
      <c r="H146" s="652">
        <v>1000000</v>
      </c>
      <c r="I146" s="700"/>
      <c r="J146" s="647" t="s">
        <v>968</v>
      </c>
    </row>
    <row r="147" spans="1:10" ht="20.25" customHeight="1" thickBot="1" x14ac:dyDescent="0.25">
      <c r="A147" s="689">
        <v>6</v>
      </c>
      <c r="B147" s="703" t="s">
        <v>1050</v>
      </c>
      <c r="C147" s="690"/>
      <c r="D147" s="691">
        <f>SUM(D150:D151,D154:D155,D158:D159,D162:D163,D166:D167,D170:D171)</f>
        <v>73719801.590000004</v>
      </c>
      <c r="E147" s="691">
        <f t="shared" ref="E147:I147" si="8">SUM(E150:E151,E154:E155,E158:E159,E162:E163,E166:E167,E170:E171)</f>
        <v>24646299.399999999</v>
      </c>
      <c r="F147" s="691">
        <f t="shared" si="8"/>
        <v>49073502.190000005</v>
      </c>
      <c r="G147" s="691">
        <f t="shared" si="8"/>
        <v>42680410.090000004</v>
      </c>
      <c r="H147" s="691">
        <f t="shared" si="8"/>
        <v>10786285.479999999</v>
      </c>
      <c r="I147" s="691">
        <f t="shared" si="8"/>
        <v>31894124.609999999</v>
      </c>
      <c r="J147" s="647"/>
    </row>
    <row r="148" spans="1:10" ht="21" customHeight="1" x14ac:dyDescent="0.2">
      <c r="A148" s="668" t="s">
        <v>1051</v>
      </c>
      <c r="B148" s="704" t="s">
        <v>729</v>
      </c>
      <c r="C148" s="647"/>
      <c r="D148" s="651"/>
      <c r="E148" s="651"/>
      <c r="F148" s="651"/>
      <c r="G148" s="651"/>
      <c r="H148" s="651"/>
      <c r="I148" s="695"/>
      <c r="J148" s="647"/>
    </row>
    <row r="149" spans="1:10" ht="11.1" customHeight="1" x14ac:dyDescent="0.2">
      <c r="A149" s="658"/>
      <c r="B149" s="642" t="s">
        <v>971</v>
      </c>
      <c r="C149" s="697"/>
      <c r="D149" s="645"/>
      <c r="E149" s="645"/>
      <c r="F149" s="645"/>
      <c r="G149" s="645"/>
      <c r="H149" s="645"/>
      <c r="I149" s="698"/>
      <c r="J149" s="647"/>
    </row>
    <row r="150" spans="1:10" ht="11.1" customHeight="1" x14ac:dyDescent="0.2">
      <c r="A150" s="658"/>
      <c r="B150" s="659" t="s">
        <v>961</v>
      </c>
      <c r="C150" s="697" t="s">
        <v>967</v>
      </c>
      <c r="D150" s="645">
        <f>SUM(E150:F150)</f>
        <v>0</v>
      </c>
      <c r="E150" s="645"/>
      <c r="F150" s="645"/>
      <c r="G150" s="645">
        <f>SUM(H150:I150)</f>
        <v>0</v>
      </c>
      <c r="H150" s="645"/>
      <c r="I150" s="698"/>
      <c r="J150" s="647"/>
    </row>
    <row r="151" spans="1:10" ht="11.1" customHeight="1" x14ac:dyDescent="0.2">
      <c r="A151" s="670"/>
      <c r="B151" s="675" t="s">
        <v>962</v>
      </c>
      <c r="C151" s="702" t="s">
        <v>969</v>
      </c>
      <c r="D151" s="652">
        <f>SUM(E151:F151)</f>
        <v>5700000</v>
      </c>
      <c r="E151" s="652">
        <f>425250+425250+30000</f>
        <v>880500</v>
      </c>
      <c r="F151" s="700">
        <f>2409750+2409750</f>
        <v>4819500</v>
      </c>
      <c r="G151" s="652">
        <f>SUM(H151:I151)</f>
        <v>2835000</v>
      </c>
      <c r="H151" s="652">
        <v>425250</v>
      </c>
      <c r="I151" s="700">
        <v>2409750</v>
      </c>
      <c r="J151" s="647" t="s">
        <v>968</v>
      </c>
    </row>
    <row r="152" spans="1:10" ht="21.75" customHeight="1" x14ac:dyDescent="0.2">
      <c r="A152" s="668" t="s">
        <v>1052</v>
      </c>
      <c r="B152" s="701" t="s">
        <v>758</v>
      </c>
      <c r="C152" s="647"/>
      <c r="D152" s="651"/>
      <c r="E152" s="651"/>
      <c r="F152" s="651"/>
      <c r="G152" s="651"/>
      <c r="H152" s="651"/>
      <c r="I152" s="695"/>
      <c r="J152" s="647"/>
    </row>
    <row r="153" spans="1:10" ht="11.1" customHeight="1" x14ac:dyDescent="0.2">
      <c r="A153" s="658"/>
      <c r="B153" s="642" t="s">
        <v>971</v>
      </c>
      <c r="C153" s="697"/>
      <c r="D153" s="645"/>
      <c r="E153" s="645"/>
      <c r="F153" s="645"/>
      <c r="G153" s="645"/>
      <c r="H153" s="645"/>
      <c r="I153" s="698"/>
      <c r="J153" s="647"/>
    </row>
    <row r="154" spans="1:10" ht="11.1" customHeight="1" x14ac:dyDescent="0.2">
      <c r="A154" s="658"/>
      <c r="B154" s="659" t="s">
        <v>961</v>
      </c>
      <c r="C154" s="697" t="s">
        <v>967</v>
      </c>
      <c r="D154" s="645">
        <f>SUM(E154:F154)</f>
        <v>0</v>
      </c>
      <c r="E154" s="645"/>
      <c r="F154" s="645"/>
      <c r="G154" s="645">
        <f>SUM(H154:I154)</f>
        <v>0</v>
      </c>
      <c r="H154" s="645"/>
      <c r="I154" s="698"/>
      <c r="J154" s="647"/>
    </row>
    <row r="155" spans="1:10" ht="11.1" customHeight="1" x14ac:dyDescent="0.2">
      <c r="A155" s="670"/>
      <c r="B155" s="675" t="s">
        <v>962</v>
      </c>
      <c r="C155" s="702" t="s">
        <v>1048</v>
      </c>
      <c r="D155" s="652">
        <f>SUM(E155:F155)</f>
        <v>19149146.09</v>
      </c>
      <c r="E155" s="652">
        <f>2252077.06+4135299</f>
        <v>6387376.0600000005</v>
      </c>
      <c r="F155" s="700">
        <f>12761770.03</f>
        <v>12761770.029999999</v>
      </c>
      <c r="G155" s="652">
        <f>SUM(H155:I155)</f>
        <v>15013847.09</v>
      </c>
      <c r="H155" s="652">
        <v>2252077.06</v>
      </c>
      <c r="I155" s="700">
        <v>12761770.029999999</v>
      </c>
      <c r="J155" s="647" t="s">
        <v>968</v>
      </c>
    </row>
    <row r="156" spans="1:10" ht="21" customHeight="1" x14ac:dyDescent="0.2">
      <c r="A156" s="668" t="s">
        <v>1053</v>
      </c>
      <c r="B156" s="701" t="s">
        <v>873</v>
      </c>
      <c r="C156" s="647"/>
      <c r="D156" s="651"/>
      <c r="E156" s="651"/>
      <c r="F156" s="651"/>
      <c r="G156" s="651"/>
      <c r="H156" s="651"/>
      <c r="I156" s="695"/>
      <c r="J156" s="647"/>
    </row>
    <row r="157" spans="1:10" ht="11.1" customHeight="1" x14ac:dyDescent="0.2">
      <c r="A157" s="658"/>
      <c r="B157" s="642" t="s">
        <v>966</v>
      </c>
      <c r="C157" s="697"/>
      <c r="D157" s="645"/>
      <c r="E157" s="645"/>
      <c r="F157" s="645"/>
      <c r="G157" s="645"/>
      <c r="H157" s="645"/>
      <c r="I157" s="698"/>
      <c r="J157" s="647"/>
    </row>
    <row r="158" spans="1:10" ht="11.1" customHeight="1" x14ac:dyDescent="0.2">
      <c r="A158" s="658"/>
      <c r="B158" s="659" t="s">
        <v>961</v>
      </c>
      <c r="C158" s="697" t="s">
        <v>1054</v>
      </c>
      <c r="D158" s="645">
        <f>SUM(E158:F158)</f>
        <v>0</v>
      </c>
      <c r="E158" s="645"/>
      <c r="F158" s="645"/>
      <c r="G158" s="645">
        <f>SUM(H158:I158)</f>
        <v>0</v>
      </c>
      <c r="H158" s="645"/>
      <c r="I158" s="698"/>
      <c r="J158" s="647"/>
    </row>
    <row r="159" spans="1:10" ht="11.1" customHeight="1" x14ac:dyDescent="0.2">
      <c r="A159" s="670"/>
      <c r="B159" s="675" t="s">
        <v>962</v>
      </c>
      <c r="C159" s="702" t="s">
        <v>1055</v>
      </c>
      <c r="D159" s="652">
        <f>SUM(E159:F159)</f>
        <v>25210000</v>
      </c>
      <c r="E159" s="652">
        <f>2112626.84+11125821.1</f>
        <v>13238447.939999999</v>
      </c>
      <c r="F159" s="700">
        <v>11971552.060000001</v>
      </c>
      <c r="G159" s="652">
        <f>SUM(H159:I159)</f>
        <v>12000000</v>
      </c>
      <c r="H159" s="652">
        <f>1056313.42+4957910.55</f>
        <v>6014223.9699999997</v>
      </c>
      <c r="I159" s="700">
        <v>5985776.0300000003</v>
      </c>
      <c r="J159" s="647" t="s">
        <v>968</v>
      </c>
    </row>
    <row r="160" spans="1:10" ht="24" customHeight="1" x14ac:dyDescent="0.2">
      <c r="A160" s="668" t="s">
        <v>1056</v>
      </c>
      <c r="B160" s="701" t="s">
        <v>908</v>
      </c>
      <c r="C160" s="647"/>
      <c r="D160" s="651"/>
      <c r="E160" s="651"/>
      <c r="F160" s="651"/>
      <c r="G160" s="651"/>
      <c r="H160" s="651"/>
      <c r="I160" s="695"/>
      <c r="J160" s="647"/>
    </row>
    <row r="161" spans="1:10" ht="11.1" customHeight="1" x14ac:dyDescent="0.2">
      <c r="A161" s="658"/>
      <c r="B161" s="642" t="s">
        <v>966</v>
      </c>
      <c r="C161" s="697"/>
      <c r="D161" s="645"/>
      <c r="E161" s="645"/>
      <c r="F161" s="645"/>
      <c r="G161" s="645"/>
      <c r="H161" s="645"/>
      <c r="I161" s="698"/>
      <c r="J161" s="647"/>
    </row>
    <row r="162" spans="1:10" ht="11.1" customHeight="1" x14ac:dyDescent="0.2">
      <c r="A162" s="658"/>
      <c r="B162" s="659" t="s">
        <v>961</v>
      </c>
      <c r="C162" s="697" t="s">
        <v>1057</v>
      </c>
      <c r="D162" s="645">
        <f>SUM(E162:F162)</f>
        <v>0</v>
      </c>
      <c r="E162" s="645"/>
      <c r="F162" s="645"/>
      <c r="G162" s="645">
        <f>SUM(H162:I162)</f>
        <v>0</v>
      </c>
      <c r="H162" s="645"/>
      <c r="I162" s="698"/>
      <c r="J162" s="647"/>
    </row>
    <row r="163" spans="1:10" ht="11.1" customHeight="1" x14ac:dyDescent="0.2">
      <c r="A163" s="670"/>
      <c r="B163" s="675" t="s">
        <v>962</v>
      </c>
      <c r="C163" s="702" t="s">
        <v>1058</v>
      </c>
      <c r="D163" s="652">
        <f>SUM(E163:F163)</f>
        <v>21218509.5</v>
      </c>
      <c r="E163" s="652">
        <f>550623.5+3100182.9</f>
        <v>3650806.4</v>
      </c>
      <c r="F163" s="700">
        <v>17567703.100000001</v>
      </c>
      <c r="G163" s="652">
        <f>SUM(H163:I163)</f>
        <v>10433943</v>
      </c>
      <c r="H163" s="652">
        <f>1550091.45+100000</f>
        <v>1650091.45</v>
      </c>
      <c r="I163" s="700">
        <v>8783851.5500000007</v>
      </c>
      <c r="J163" s="647" t="s">
        <v>968</v>
      </c>
    </row>
    <row r="164" spans="1:10" ht="21.75" customHeight="1" x14ac:dyDescent="0.2">
      <c r="A164" s="668" t="s">
        <v>1059</v>
      </c>
      <c r="B164" s="701" t="s">
        <v>910</v>
      </c>
      <c r="C164" s="647"/>
      <c r="D164" s="651"/>
      <c r="E164" s="651"/>
      <c r="F164" s="651"/>
      <c r="G164" s="651"/>
      <c r="H164" s="651"/>
      <c r="I164" s="695"/>
      <c r="J164" s="647"/>
    </row>
    <row r="165" spans="1:10" ht="11.1" customHeight="1" x14ac:dyDescent="0.2">
      <c r="A165" s="658"/>
      <c r="B165" s="642" t="s">
        <v>966</v>
      </c>
      <c r="C165" s="697"/>
      <c r="D165" s="645"/>
      <c r="E165" s="645"/>
      <c r="F165" s="645"/>
      <c r="G165" s="645"/>
      <c r="H165" s="645"/>
      <c r="I165" s="698"/>
      <c r="J165" s="647"/>
    </row>
    <row r="166" spans="1:10" ht="11.1" customHeight="1" x14ac:dyDescent="0.2">
      <c r="A166" s="658"/>
      <c r="B166" s="659" t="s">
        <v>961</v>
      </c>
      <c r="C166" s="697" t="s">
        <v>1057</v>
      </c>
      <c r="D166" s="645">
        <f>SUM(E166:F166)</f>
        <v>0</v>
      </c>
      <c r="E166" s="645"/>
      <c r="F166" s="645"/>
      <c r="G166" s="645">
        <f>SUM(H166:I166)</f>
        <v>0</v>
      </c>
      <c r="H166" s="645"/>
      <c r="I166" s="698"/>
      <c r="J166" s="647"/>
    </row>
    <row r="167" spans="1:10" ht="11.1" customHeight="1" x14ac:dyDescent="0.2">
      <c r="A167" s="670"/>
      <c r="B167" s="675" t="s">
        <v>962</v>
      </c>
      <c r="C167" s="702" t="s">
        <v>1058</v>
      </c>
      <c r="D167" s="652">
        <f>SUM(E167:F167)</f>
        <v>2344526</v>
      </c>
      <c r="E167" s="652">
        <f>144526+330000</f>
        <v>474526</v>
      </c>
      <c r="F167" s="700">
        <v>1870000</v>
      </c>
      <c r="G167" s="652">
        <f>SUM(H167:I167)</f>
        <v>2300000</v>
      </c>
      <c r="H167" s="652">
        <f>330000+100000</f>
        <v>430000</v>
      </c>
      <c r="I167" s="700">
        <v>1870000</v>
      </c>
      <c r="J167" s="647" t="s">
        <v>968</v>
      </c>
    </row>
    <row r="168" spans="1:10" ht="20.25" customHeight="1" x14ac:dyDescent="0.2">
      <c r="A168" s="668" t="s">
        <v>1060</v>
      </c>
      <c r="B168" s="701" t="s">
        <v>1061</v>
      </c>
      <c r="C168" s="647"/>
      <c r="D168" s="651"/>
      <c r="E168" s="651"/>
      <c r="F168" s="651"/>
      <c r="G168" s="651"/>
      <c r="H168" s="651"/>
      <c r="I168" s="695"/>
      <c r="J168" s="647"/>
    </row>
    <row r="169" spans="1:10" ht="11.1" customHeight="1" x14ac:dyDescent="0.2">
      <c r="A169" s="658"/>
      <c r="B169" s="642" t="s">
        <v>966</v>
      </c>
      <c r="C169" s="697"/>
      <c r="D169" s="645"/>
      <c r="E169" s="645"/>
      <c r="F169" s="645"/>
      <c r="G169" s="645"/>
      <c r="H169" s="645"/>
      <c r="I169" s="698"/>
      <c r="J169" s="647"/>
    </row>
    <row r="170" spans="1:10" ht="11.1" customHeight="1" x14ac:dyDescent="0.2">
      <c r="A170" s="658"/>
      <c r="B170" s="659" t="s">
        <v>961</v>
      </c>
      <c r="C170" s="697" t="s">
        <v>1057</v>
      </c>
      <c r="D170" s="645">
        <f>SUM(E170:F170)</f>
        <v>97620</v>
      </c>
      <c r="E170" s="645">
        <v>14643</v>
      </c>
      <c r="F170" s="645">
        <v>82977</v>
      </c>
      <c r="G170" s="645">
        <f>SUM(H170:I170)</f>
        <v>97620</v>
      </c>
      <c r="H170" s="645">
        <v>14643</v>
      </c>
      <c r="I170" s="698">
        <v>82977</v>
      </c>
      <c r="J170" s="647"/>
    </row>
    <row r="171" spans="1:10" ht="11.1" customHeight="1" x14ac:dyDescent="0.2">
      <c r="A171" s="670"/>
      <c r="B171" s="675" t="s">
        <v>962</v>
      </c>
      <c r="C171" s="702" t="s">
        <v>1058</v>
      </c>
      <c r="D171" s="652"/>
      <c r="E171" s="652"/>
      <c r="F171" s="700"/>
      <c r="G171" s="652"/>
      <c r="H171" s="652"/>
      <c r="I171" s="700"/>
      <c r="J171" s="647"/>
    </row>
    <row r="172" spans="1:10" ht="21.75" customHeight="1" thickBot="1" x14ac:dyDescent="0.25">
      <c r="A172" s="635" t="s">
        <v>1062</v>
      </c>
      <c r="B172" s="705" t="s">
        <v>1063</v>
      </c>
      <c r="C172" s="706"/>
      <c r="D172" s="707">
        <f>SUM(D175)</f>
        <v>474746.35</v>
      </c>
      <c r="E172" s="707">
        <f t="shared" ref="E172:I172" si="9">SUM(E175)</f>
        <v>0</v>
      </c>
      <c r="F172" s="707">
        <f t="shared" si="9"/>
        <v>474746.35</v>
      </c>
      <c r="G172" s="707">
        <f t="shared" si="9"/>
        <v>474746.35</v>
      </c>
      <c r="H172" s="707">
        <f t="shared" si="9"/>
        <v>0</v>
      </c>
      <c r="I172" s="707">
        <f t="shared" si="9"/>
        <v>474746.35</v>
      </c>
    </row>
    <row r="173" spans="1:10" ht="24" customHeight="1" x14ac:dyDescent="0.2">
      <c r="A173" s="708" t="s">
        <v>1064</v>
      </c>
      <c r="B173" s="701" t="s">
        <v>1065</v>
      </c>
      <c r="C173" s="709"/>
      <c r="D173" s="710"/>
      <c r="E173" s="710"/>
      <c r="F173" s="711"/>
      <c r="G173" s="710"/>
      <c r="H173" s="710"/>
      <c r="I173" s="711"/>
    </row>
    <row r="174" spans="1:10" ht="11.1" customHeight="1" x14ac:dyDescent="0.25">
      <c r="A174" s="641"/>
      <c r="B174" s="642" t="s">
        <v>1066</v>
      </c>
      <c r="C174" s="1306"/>
      <c r="D174" s="1306"/>
      <c r="E174" s="1306"/>
      <c r="F174" s="1307"/>
      <c r="G174" s="1306"/>
      <c r="H174" s="1306"/>
      <c r="I174" s="1307"/>
    </row>
    <row r="175" spans="1:10" ht="11.1" customHeight="1" x14ac:dyDescent="0.2">
      <c r="A175" s="643"/>
      <c r="B175" s="1311" t="s">
        <v>961</v>
      </c>
      <c r="C175" s="684" t="s">
        <v>982</v>
      </c>
      <c r="D175" s="672">
        <f>SUM(E175:F175)</f>
        <v>474746.35</v>
      </c>
      <c r="E175" s="672"/>
      <c r="F175" s="672">
        <v>474746.35</v>
      </c>
      <c r="G175" s="673">
        <f>SUM(H175,I175)</f>
        <v>474746.35</v>
      </c>
      <c r="H175" s="672"/>
      <c r="I175" s="712">
        <f>474746.35</f>
        <v>474746.35</v>
      </c>
      <c r="J175" s="647"/>
    </row>
    <row r="176" spans="1:10" ht="11.1" customHeight="1" x14ac:dyDescent="0.2">
      <c r="A176" s="648"/>
      <c r="B176" s="675" t="s">
        <v>962</v>
      </c>
      <c r="C176" s="685" t="s">
        <v>983</v>
      </c>
      <c r="D176" s="652"/>
      <c r="E176" s="652"/>
      <c r="F176" s="652"/>
      <c r="G176" s="652"/>
      <c r="H176" s="652"/>
      <c r="I176" s="700"/>
    </row>
    <row r="177" spans="1:9" ht="11.1" customHeight="1" x14ac:dyDescent="0.2">
      <c r="A177" s="665"/>
      <c r="B177" s="713"/>
      <c r="C177" s="714"/>
      <c r="D177" s="632"/>
      <c r="E177" s="632"/>
      <c r="F177" s="632"/>
      <c r="G177" s="632"/>
      <c r="H177" s="632"/>
      <c r="I177" s="715"/>
    </row>
    <row r="178" spans="1:9" ht="15.75" customHeight="1" x14ac:dyDescent="0.2">
      <c r="A178" s="716" t="s">
        <v>1067</v>
      </c>
      <c r="D178" s="634"/>
      <c r="E178" s="634"/>
      <c r="F178" s="634"/>
      <c r="G178" s="634"/>
      <c r="H178" s="634"/>
      <c r="I178" s="634"/>
    </row>
    <row r="179" spans="1:9" ht="11.1" customHeight="1" x14ac:dyDescent="0.2">
      <c r="A179" s="665"/>
      <c r="D179" s="634"/>
      <c r="E179" s="634"/>
      <c r="F179" s="634"/>
      <c r="G179" s="634"/>
      <c r="H179" s="634"/>
      <c r="I179" s="634"/>
    </row>
    <row r="180" spans="1:9" ht="11.1" customHeight="1" x14ac:dyDescent="0.2">
      <c r="A180" s="665"/>
      <c r="D180" s="634"/>
      <c r="E180" s="634"/>
      <c r="F180" s="634"/>
      <c r="G180" s="634"/>
      <c r="H180" s="634"/>
      <c r="I180" s="634"/>
    </row>
    <row r="181" spans="1:9" ht="11.1" customHeight="1" x14ac:dyDescent="0.2">
      <c r="A181" s="665"/>
      <c r="D181" s="634"/>
      <c r="E181" s="634"/>
      <c r="F181" s="634"/>
      <c r="G181" s="634"/>
      <c r="H181" s="634"/>
      <c r="I181" s="634"/>
    </row>
    <row r="182" spans="1:9" ht="11.1" customHeight="1" x14ac:dyDescent="0.2">
      <c r="A182" s="665"/>
      <c r="D182" s="634"/>
      <c r="E182" s="634"/>
      <c r="F182" s="634"/>
      <c r="G182" s="634"/>
      <c r="H182" s="634"/>
      <c r="I182" s="634"/>
    </row>
    <row r="183" spans="1:9" ht="11.1" customHeight="1" x14ac:dyDescent="0.2">
      <c r="A183" s="665"/>
      <c r="D183" s="634"/>
      <c r="E183" s="634"/>
      <c r="F183" s="634"/>
      <c r="G183" s="634"/>
      <c r="H183" s="634"/>
      <c r="I183" s="634"/>
    </row>
    <row r="184" spans="1:9" ht="11.1" customHeight="1" x14ac:dyDescent="0.2">
      <c r="A184" s="665"/>
      <c r="D184" s="634"/>
      <c r="E184" s="634"/>
      <c r="F184" s="634"/>
      <c r="G184" s="634"/>
      <c r="H184" s="634"/>
      <c r="I184" s="634"/>
    </row>
    <row r="185" spans="1:9" ht="11.1" customHeight="1" x14ac:dyDescent="0.2">
      <c r="A185" s="665"/>
      <c r="D185" s="634"/>
      <c r="E185" s="634"/>
      <c r="F185" s="634"/>
      <c r="G185" s="634"/>
      <c r="H185" s="634"/>
      <c r="I185" s="634"/>
    </row>
    <row r="186" spans="1:9" ht="11.1" customHeight="1" x14ac:dyDescent="0.2">
      <c r="A186" s="665"/>
      <c r="D186" s="634"/>
      <c r="E186" s="634"/>
      <c r="F186" s="634"/>
      <c r="G186" s="634"/>
      <c r="H186" s="634"/>
      <c r="I186" s="634"/>
    </row>
    <row r="187" spans="1:9" ht="11.1" customHeight="1" x14ac:dyDescent="0.2">
      <c r="A187" s="665"/>
      <c r="D187" s="634"/>
      <c r="E187" s="634"/>
      <c r="F187" s="634"/>
      <c r="G187" s="634"/>
      <c r="H187" s="634"/>
      <c r="I187" s="634"/>
    </row>
    <row r="188" spans="1:9" ht="11.1" customHeight="1" x14ac:dyDescent="0.2">
      <c r="A188" s="665"/>
      <c r="D188" s="634"/>
      <c r="E188" s="634"/>
      <c r="F188" s="634"/>
      <c r="G188" s="634"/>
      <c r="H188" s="634"/>
      <c r="I188" s="634"/>
    </row>
    <row r="189" spans="1:9" ht="11.1" customHeight="1" x14ac:dyDescent="0.2">
      <c r="A189" s="665"/>
      <c r="D189" s="634"/>
      <c r="E189" s="634"/>
      <c r="F189" s="634"/>
      <c r="G189" s="634"/>
      <c r="H189" s="634"/>
      <c r="I189" s="634"/>
    </row>
    <row r="190" spans="1:9" ht="11.1" customHeight="1" x14ac:dyDescent="0.2">
      <c r="A190" s="665"/>
      <c r="D190" s="634"/>
      <c r="E190" s="634"/>
      <c r="F190" s="634"/>
      <c r="G190" s="634"/>
      <c r="H190" s="634"/>
      <c r="I190" s="634"/>
    </row>
    <row r="191" spans="1:9" ht="11.1" customHeight="1" x14ac:dyDescent="0.2">
      <c r="A191" s="665"/>
      <c r="D191" s="634"/>
      <c r="E191" s="634"/>
      <c r="F191" s="634"/>
      <c r="G191" s="634"/>
      <c r="H191" s="634"/>
      <c r="I191" s="634"/>
    </row>
    <row r="192" spans="1:9" ht="11.1" customHeight="1" x14ac:dyDescent="0.2">
      <c r="A192" s="665"/>
      <c r="D192" s="634"/>
      <c r="E192" s="634"/>
      <c r="F192" s="634"/>
      <c r="G192" s="634"/>
      <c r="H192" s="634"/>
      <c r="I192" s="634"/>
    </row>
    <row r="193" spans="1:9" ht="11.1" customHeight="1" x14ac:dyDescent="0.2">
      <c r="A193" s="665"/>
      <c r="D193" s="634"/>
      <c r="E193" s="634"/>
      <c r="F193" s="634"/>
      <c r="G193" s="634"/>
      <c r="H193" s="634"/>
      <c r="I193" s="634"/>
    </row>
    <row r="194" spans="1:9" ht="12.75" customHeight="1" x14ac:dyDescent="0.2">
      <c r="A194" s="713"/>
      <c r="D194" s="632"/>
      <c r="E194" s="632"/>
      <c r="F194" s="632"/>
      <c r="G194" s="632"/>
      <c r="H194" s="632"/>
      <c r="I194" s="632"/>
    </row>
    <row r="195" spans="1:9" ht="12.75" customHeight="1" x14ac:dyDescent="0.2">
      <c r="A195" s="713"/>
    </row>
    <row r="196" spans="1:9" x14ac:dyDescent="0.2">
      <c r="A196" s="713"/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scale="90" orientation="landscape" useFirstPageNumber="1" r:id="rId1"/>
  <headerFooter>
    <oddFooter>&amp;C&amp;"Arial,Pogrubiony"&amp;9&amp;P</oddFooter>
  </headerFooter>
  <rowBreaks count="1" manualBreakCount="1">
    <brk id="159" max="16383" man="1"/>
  </rowBreak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F608E6-505D-4690-90D1-987E7479D3AA}">
  <dimension ref="A1:J39"/>
  <sheetViews>
    <sheetView zoomScale="130" zoomScaleNormal="130" workbookViewId="0">
      <selection activeCell="C4" sqref="C4"/>
    </sheetView>
  </sheetViews>
  <sheetFormatPr defaultRowHeight="12.75" x14ac:dyDescent="0.25"/>
  <cols>
    <col min="1" max="1" width="4.140625" style="390" customWidth="1"/>
    <col min="2" max="2" width="59.140625" style="390" customWidth="1"/>
    <col min="3" max="3" width="9.7109375" style="390" customWidth="1"/>
    <col min="4" max="4" width="13.7109375" style="718" customWidth="1"/>
    <col min="5" max="6" width="0" style="390" hidden="1" customWidth="1"/>
    <col min="7" max="7" width="11.7109375" style="390" hidden="1" customWidth="1"/>
    <col min="8" max="8" width="10.5703125" style="390" hidden="1" customWidth="1"/>
    <col min="9" max="256" width="9.140625" style="390"/>
    <col min="257" max="257" width="4.140625" style="390" customWidth="1"/>
    <col min="258" max="258" width="59.140625" style="390" customWidth="1"/>
    <col min="259" max="259" width="9.7109375" style="390" customWidth="1"/>
    <col min="260" max="260" width="13.7109375" style="390" customWidth="1"/>
    <col min="261" max="264" width="0" style="390" hidden="1" customWidth="1"/>
    <col min="265" max="512" width="9.140625" style="390"/>
    <col min="513" max="513" width="4.140625" style="390" customWidth="1"/>
    <col min="514" max="514" width="59.140625" style="390" customWidth="1"/>
    <col min="515" max="515" width="9.7109375" style="390" customWidth="1"/>
    <col min="516" max="516" width="13.7109375" style="390" customWidth="1"/>
    <col min="517" max="520" width="0" style="390" hidden="1" customWidth="1"/>
    <col min="521" max="768" width="9.140625" style="390"/>
    <col min="769" max="769" width="4.140625" style="390" customWidth="1"/>
    <col min="770" max="770" width="59.140625" style="390" customWidth="1"/>
    <col min="771" max="771" width="9.7109375" style="390" customWidth="1"/>
    <col min="772" max="772" width="13.7109375" style="390" customWidth="1"/>
    <col min="773" max="776" width="0" style="390" hidden="1" customWidth="1"/>
    <col min="777" max="1024" width="9.140625" style="390"/>
    <col min="1025" max="1025" width="4.140625" style="390" customWidth="1"/>
    <col min="1026" max="1026" width="59.140625" style="390" customWidth="1"/>
    <col min="1027" max="1027" width="9.7109375" style="390" customWidth="1"/>
    <col min="1028" max="1028" width="13.7109375" style="390" customWidth="1"/>
    <col min="1029" max="1032" width="0" style="390" hidden="1" customWidth="1"/>
    <col min="1033" max="1280" width="9.140625" style="390"/>
    <col min="1281" max="1281" width="4.140625" style="390" customWidth="1"/>
    <col min="1282" max="1282" width="59.140625" style="390" customWidth="1"/>
    <col min="1283" max="1283" width="9.7109375" style="390" customWidth="1"/>
    <col min="1284" max="1284" width="13.7109375" style="390" customWidth="1"/>
    <col min="1285" max="1288" width="0" style="390" hidden="1" customWidth="1"/>
    <col min="1289" max="1536" width="9.140625" style="390"/>
    <col min="1537" max="1537" width="4.140625" style="390" customWidth="1"/>
    <col min="1538" max="1538" width="59.140625" style="390" customWidth="1"/>
    <col min="1539" max="1539" width="9.7109375" style="390" customWidth="1"/>
    <col min="1540" max="1540" width="13.7109375" style="390" customWidth="1"/>
    <col min="1541" max="1544" width="0" style="390" hidden="1" customWidth="1"/>
    <col min="1545" max="1792" width="9.140625" style="390"/>
    <col min="1793" max="1793" width="4.140625" style="390" customWidth="1"/>
    <col min="1794" max="1794" width="59.140625" style="390" customWidth="1"/>
    <col min="1795" max="1795" width="9.7109375" style="390" customWidth="1"/>
    <col min="1796" max="1796" width="13.7109375" style="390" customWidth="1"/>
    <col min="1797" max="1800" width="0" style="390" hidden="1" customWidth="1"/>
    <col min="1801" max="2048" width="9.140625" style="390"/>
    <col min="2049" max="2049" width="4.140625" style="390" customWidth="1"/>
    <col min="2050" max="2050" width="59.140625" style="390" customWidth="1"/>
    <col min="2051" max="2051" width="9.7109375" style="390" customWidth="1"/>
    <col min="2052" max="2052" width="13.7109375" style="390" customWidth="1"/>
    <col min="2053" max="2056" width="0" style="390" hidden="1" customWidth="1"/>
    <col min="2057" max="2304" width="9.140625" style="390"/>
    <col min="2305" max="2305" width="4.140625" style="390" customWidth="1"/>
    <col min="2306" max="2306" width="59.140625" style="390" customWidth="1"/>
    <col min="2307" max="2307" width="9.7109375" style="390" customWidth="1"/>
    <col min="2308" max="2308" width="13.7109375" style="390" customWidth="1"/>
    <col min="2309" max="2312" width="0" style="390" hidden="1" customWidth="1"/>
    <col min="2313" max="2560" width="9.140625" style="390"/>
    <col min="2561" max="2561" width="4.140625" style="390" customWidth="1"/>
    <col min="2562" max="2562" width="59.140625" style="390" customWidth="1"/>
    <col min="2563" max="2563" width="9.7109375" style="390" customWidth="1"/>
    <col min="2564" max="2564" width="13.7109375" style="390" customWidth="1"/>
    <col min="2565" max="2568" width="0" style="390" hidden="1" customWidth="1"/>
    <col min="2569" max="2816" width="9.140625" style="390"/>
    <col min="2817" max="2817" width="4.140625" style="390" customWidth="1"/>
    <col min="2818" max="2818" width="59.140625" style="390" customWidth="1"/>
    <col min="2819" max="2819" width="9.7109375" style="390" customWidth="1"/>
    <col min="2820" max="2820" width="13.7109375" style="390" customWidth="1"/>
    <col min="2821" max="2824" width="0" style="390" hidden="1" customWidth="1"/>
    <col min="2825" max="3072" width="9.140625" style="390"/>
    <col min="3073" max="3073" width="4.140625" style="390" customWidth="1"/>
    <col min="3074" max="3074" width="59.140625" style="390" customWidth="1"/>
    <col min="3075" max="3075" width="9.7109375" style="390" customWidth="1"/>
    <col min="3076" max="3076" width="13.7109375" style="390" customWidth="1"/>
    <col min="3077" max="3080" width="0" style="390" hidden="1" customWidth="1"/>
    <col min="3081" max="3328" width="9.140625" style="390"/>
    <col min="3329" max="3329" width="4.140625" style="390" customWidth="1"/>
    <col min="3330" max="3330" width="59.140625" style="390" customWidth="1"/>
    <col min="3331" max="3331" width="9.7109375" style="390" customWidth="1"/>
    <col min="3332" max="3332" width="13.7109375" style="390" customWidth="1"/>
    <col min="3333" max="3336" width="0" style="390" hidden="1" customWidth="1"/>
    <col min="3337" max="3584" width="9.140625" style="390"/>
    <col min="3585" max="3585" width="4.140625" style="390" customWidth="1"/>
    <col min="3586" max="3586" width="59.140625" style="390" customWidth="1"/>
    <col min="3587" max="3587" width="9.7109375" style="390" customWidth="1"/>
    <col min="3588" max="3588" width="13.7109375" style="390" customWidth="1"/>
    <col min="3589" max="3592" width="0" style="390" hidden="1" customWidth="1"/>
    <col min="3593" max="3840" width="9.140625" style="390"/>
    <col min="3841" max="3841" width="4.140625" style="390" customWidth="1"/>
    <col min="3842" max="3842" width="59.140625" style="390" customWidth="1"/>
    <col min="3843" max="3843" width="9.7109375" style="390" customWidth="1"/>
    <col min="3844" max="3844" width="13.7109375" style="390" customWidth="1"/>
    <col min="3845" max="3848" width="0" style="390" hidden="1" customWidth="1"/>
    <col min="3849" max="4096" width="9.140625" style="390"/>
    <col min="4097" max="4097" width="4.140625" style="390" customWidth="1"/>
    <col min="4098" max="4098" width="59.140625" style="390" customWidth="1"/>
    <col min="4099" max="4099" width="9.7109375" style="390" customWidth="1"/>
    <col min="4100" max="4100" width="13.7109375" style="390" customWidth="1"/>
    <col min="4101" max="4104" width="0" style="390" hidden="1" customWidth="1"/>
    <col min="4105" max="4352" width="9.140625" style="390"/>
    <col min="4353" max="4353" width="4.140625" style="390" customWidth="1"/>
    <col min="4354" max="4354" width="59.140625" style="390" customWidth="1"/>
    <col min="4355" max="4355" width="9.7109375" style="390" customWidth="1"/>
    <col min="4356" max="4356" width="13.7109375" style="390" customWidth="1"/>
    <col min="4357" max="4360" width="0" style="390" hidden="1" customWidth="1"/>
    <col min="4361" max="4608" width="9.140625" style="390"/>
    <col min="4609" max="4609" width="4.140625" style="390" customWidth="1"/>
    <col min="4610" max="4610" width="59.140625" style="390" customWidth="1"/>
    <col min="4611" max="4611" width="9.7109375" style="390" customWidth="1"/>
    <col min="4612" max="4612" width="13.7109375" style="390" customWidth="1"/>
    <col min="4613" max="4616" width="0" style="390" hidden="1" customWidth="1"/>
    <col min="4617" max="4864" width="9.140625" style="390"/>
    <col min="4865" max="4865" width="4.140625" style="390" customWidth="1"/>
    <col min="4866" max="4866" width="59.140625" style="390" customWidth="1"/>
    <col min="4867" max="4867" width="9.7109375" style="390" customWidth="1"/>
    <col min="4868" max="4868" width="13.7109375" style="390" customWidth="1"/>
    <col min="4869" max="4872" width="0" style="390" hidden="1" customWidth="1"/>
    <col min="4873" max="5120" width="9.140625" style="390"/>
    <col min="5121" max="5121" width="4.140625" style="390" customWidth="1"/>
    <col min="5122" max="5122" width="59.140625" style="390" customWidth="1"/>
    <col min="5123" max="5123" width="9.7109375" style="390" customWidth="1"/>
    <col min="5124" max="5124" width="13.7109375" style="390" customWidth="1"/>
    <col min="5125" max="5128" width="0" style="390" hidden="1" customWidth="1"/>
    <col min="5129" max="5376" width="9.140625" style="390"/>
    <col min="5377" max="5377" width="4.140625" style="390" customWidth="1"/>
    <col min="5378" max="5378" width="59.140625" style="390" customWidth="1"/>
    <col min="5379" max="5379" width="9.7109375" style="390" customWidth="1"/>
    <col min="5380" max="5380" width="13.7109375" style="390" customWidth="1"/>
    <col min="5381" max="5384" width="0" style="390" hidden="1" customWidth="1"/>
    <col min="5385" max="5632" width="9.140625" style="390"/>
    <col min="5633" max="5633" width="4.140625" style="390" customWidth="1"/>
    <col min="5634" max="5634" width="59.140625" style="390" customWidth="1"/>
    <col min="5635" max="5635" width="9.7109375" style="390" customWidth="1"/>
    <col min="5636" max="5636" width="13.7109375" style="390" customWidth="1"/>
    <col min="5637" max="5640" width="0" style="390" hidden="1" customWidth="1"/>
    <col min="5641" max="5888" width="9.140625" style="390"/>
    <col min="5889" max="5889" width="4.140625" style="390" customWidth="1"/>
    <col min="5890" max="5890" width="59.140625" style="390" customWidth="1"/>
    <col min="5891" max="5891" width="9.7109375" style="390" customWidth="1"/>
    <col min="5892" max="5892" width="13.7109375" style="390" customWidth="1"/>
    <col min="5893" max="5896" width="0" style="390" hidden="1" customWidth="1"/>
    <col min="5897" max="6144" width="9.140625" style="390"/>
    <col min="6145" max="6145" width="4.140625" style="390" customWidth="1"/>
    <col min="6146" max="6146" width="59.140625" style="390" customWidth="1"/>
    <col min="6147" max="6147" width="9.7109375" style="390" customWidth="1"/>
    <col min="6148" max="6148" width="13.7109375" style="390" customWidth="1"/>
    <col min="6149" max="6152" width="0" style="390" hidden="1" customWidth="1"/>
    <col min="6153" max="6400" width="9.140625" style="390"/>
    <col min="6401" max="6401" width="4.140625" style="390" customWidth="1"/>
    <col min="6402" max="6402" width="59.140625" style="390" customWidth="1"/>
    <col min="6403" max="6403" width="9.7109375" style="390" customWidth="1"/>
    <col min="6404" max="6404" width="13.7109375" style="390" customWidth="1"/>
    <col min="6405" max="6408" width="0" style="390" hidden="1" customWidth="1"/>
    <col min="6409" max="6656" width="9.140625" style="390"/>
    <col min="6657" max="6657" width="4.140625" style="390" customWidth="1"/>
    <col min="6658" max="6658" width="59.140625" style="390" customWidth="1"/>
    <col min="6659" max="6659" width="9.7109375" style="390" customWidth="1"/>
    <col min="6660" max="6660" width="13.7109375" style="390" customWidth="1"/>
    <col min="6661" max="6664" width="0" style="390" hidden="1" customWidth="1"/>
    <col min="6665" max="6912" width="9.140625" style="390"/>
    <col min="6913" max="6913" width="4.140625" style="390" customWidth="1"/>
    <col min="6914" max="6914" width="59.140625" style="390" customWidth="1"/>
    <col min="6915" max="6915" width="9.7109375" style="390" customWidth="1"/>
    <col min="6916" max="6916" width="13.7109375" style="390" customWidth="1"/>
    <col min="6917" max="6920" width="0" style="390" hidden="1" customWidth="1"/>
    <col min="6921" max="7168" width="9.140625" style="390"/>
    <col min="7169" max="7169" width="4.140625" style="390" customWidth="1"/>
    <col min="7170" max="7170" width="59.140625" style="390" customWidth="1"/>
    <col min="7171" max="7171" width="9.7109375" style="390" customWidth="1"/>
    <col min="7172" max="7172" width="13.7109375" style="390" customWidth="1"/>
    <col min="7173" max="7176" width="0" style="390" hidden="1" customWidth="1"/>
    <col min="7177" max="7424" width="9.140625" style="390"/>
    <col min="7425" max="7425" width="4.140625" style="390" customWidth="1"/>
    <col min="7426" max="7426" width="59.140625" style="390" customWidth="1"/>
    <col min="7427" max="7427" width="9.7109375" style="390" customWidth="1"/>
    <col min="7428" max="7428" width="13.7109375" style="390" customWidth="1"/>
    <col min="7429" max="7432" width="0" style="390" hidden="1" customWidth="1"/>
    <col min="7433" max="7680" width="9.140625" style="390"/>
    <col min="7681" max="7681" width="4.140625" style="390" customWidth="1"/>
    <col min="7682" max="7682" width="59.140625" style="390" customWidth="1"/>
    <col min="7683" max="7683" width="9.7109375" style="390" customWidth="1"/>
    <col min="7684" max="7684" width="13.7109375" style="390" customWidth="1"/>
    <col min="7685" max="7688" width="0" style="390" hidden="1" customWidth="1"/>
    <col min="7689" max="7936" width="9.140625" style="390"/>
    <col min="7937" max="7937" width="4.140625" style="390" customWidth="1"/>
    <col min="7938" max="7938" width="59.140625" style="390" customWidth="1"/>
    <col min="7939" max="7939" width="9.7109375" style="390" customWidth="1"/>
    <col min="7940" max="7940" width="13.7109375" style="390" customWidth="1"/>
    <col min="7941" max="7944" width="0" style="390" hidden="1" customWidth="1"/>
    <col min="7945" max="8192" width="9.140625" style="390"/>
    <col min="8193" max="8193" width="4.140625" style="390" customWidth="1"/>
    <col min="8194" max="8194" width="59.140625" style="390" customWidth="1"/>
    <col min="8195" max="8195" width="9.7109375" style="390" customWidth="1"/>
    <col min="8196" max="8196" width="13.7109375" style="390" customWidth="1"/>
    <col min="8197" max="8200" width="0" style="390" hidden="1" customWidth="1"/>
    <col min="8201" max="8448" width="9.140625" style="390"/>
    <col min="8449" max="8449" width="4.140625" style="390" customWidth="1"/>
    <col min="8450" max="8450" width="59.140625" style="390" customWidth="1"/>
    <col min="8451" max="8451" width="9.7109375" style="390" customWidth="1"/>
    <col min="8452" max="8452" width="13.7109375" style="390" customWidth="1"/>
    <col min="8453" max="8456" width="0" style="390" hidden="1" customWidth="1"/>
    <col min="8457" max="8704" width="9.140625" style="390"/>
    <col min="8705" max="8705" width="4.140625" style="390" customWidth="1"/>
    <col min="8706" max="8706" width="59.140625" style="390" customWidth="1"/>
    <col min="8707" max="8707" width="9.7109375" style="390" customWidth="1"/>
    <col min="8708" max="8708" width="13.7109375" style="390" customWidth="1"/>
    <col min="8709" max="8712" width="0" style="390" hidden="1" customWidth="1"/>
    <col min="8713" max="8960" width="9.140625" style="390"/>
    <col min="8961" max="8961" width="4.140625" style="390" customWidth="1"/>
    <col min="8962" max="8962" width="59.140625" style="390" customWidth="1"/>
    <col min="8963" max="8963" width="9.7109375" style="390" customWidth="1"/>
    <col min="8964" max="8964" width="13.7109375" style="390" customWidth="1"/>
    <col min="8965" max="8968" width="0" style="390" hidden="1" customWidth="1"/>
    <col min="8969" max="9216" width="9.140625" style="390"/>
    <col min="9217" max="9217" width="4.140625" style="390" customWidth="1"/>
    <col min="9218" max="9218" width="59.140625" style="390" customWidth="1"/>
    <col min="9219" max="9219" width="9.7109375" style="390" customWidth="1"/>
    <col min="9220" max="9220" width="13.7109375" style="390" customWidth="1"/>
    <col min="9221" max="9224" width="0" style="390" hidden="1" customWidth="1"/>
    <col min="9225" max="9472" width="9.140625" style="390"/>
    <col min="9473" max="9473" width="4.140625" style="390" customWidth="1"/>
    <col min="9474" max="9474" width="59.140625" style="390" customWidth="1"/>
    <col min="9475" max="9475" width="9.7109375" style="390" customWidth="1"/>
    <col min="9476" max="9476" width="13.7109375" style="390" customWidth="1"/>
    <col min="9477" max="9480" width="0" style="390" hidden="1" customWidth="1"/>
    <col min="9481" max="9728" width="9.140625" style="390"/>
    <col min="9729" max="9729" width="4.140625" style="390" customWidth="1"/>
    <col min="9730" max="9730" width="59.140625" style="390" customWidth="1"/>
    <col min="9731" max="9731" width="9.7109375" style="390" customWidth="1"/>
    <col min="9732" max="9732" width="13.7109375" style="390" customWidth="1"/>
    <col min="9733" max="9736" width="0" style="390" hidden="1" customWidth="1"/>
    <col min="9737" max="9984" width="9.140625" style="390"/>
    <col min="9985" max="9985" width="4.140625" style="390" customWidth="1"/>
    <col min="9986" max="9986" width="59.140625" style="390" customWidth="1"/>
    <col min="9987" max="9987" width="9.7109375" style="390" customWidth="1"/>
    <col min="9988" max="9988" width="13.7109375" style="390" customWidth="1"/>
    <col min="9989" max="9992" width="0" style="390" hidden="1" customWidth="1"/>
    <col min="9993" max="10240" width="9.140625" style="390"/>
    <col min="10241" max="10241" width="4.140625" style="390" customWidth="1"/>
    <col min="10242" max="10242" width="59.140625" style="390" customWidth="1"/>
    <col min="10243" max="10243" width="9.7109375" style="390" customWidth="1"/>
    <col min="10244" max="10244" width="13.7109375" style="390" customWidth="1"/>
    <col min="10245" max="10248" width="0" style="390" hidden="1" customWidth="1"/>
    <col min="10249" max="10496" width="9.140625" style="390"/>
    <col min="10497" max="10497" width="4.140625" style="390" customWidth="1"/>
    <col min="10498" max="10498" width="59.140625" style="390" customWidth="1"/>
    <col min="10499" max="10499" width="9.7109375" style="390" customWidth="1"/>
    <col min="10500" max="10500" width="13.7109375" style="390" customWidth="1"/>
    <col min="10501" max="10504" width="0" style="390" hidden="1" customWidth="1"/>
    <col min="10505" max="10752" width="9.140625" style="390"/>
    <col min="10753" max="10753" width="4.140625" style="390" customWidth="1"/>
    <col min="10754" max="10754" width="59.140625" style="390" customWidth="1"/>
    <col min="10755" max="10755" width="9.7109375" style="390" customWidth="1"/>
    <col min="10756" max="10756" width="13.7109375" style="390" customWidth="1"/>
    <col min="10757" max="10760" width="0" style="390" hidden="1" customWidth="1"/>
    <col min="10761" max="11008" width="9.140625" style="390"/>
    <col min="11009" max="11009" width="4.140625" style="390" customWidth="1"/>
    <col min="11010" max="11010" width="59.140625" style="390" customWidth="1"/>
    <col min="11011" max="11011" width="9.7109375" style="390" customWidth="1"/>
    <col min="11012" max="11012" width="13.7109375" style="390" customWidth="1"/>
    <col min="11013" max="11016" width="0" style="390" hidden="1" customWidth="1"/>
    <col min="11017" max="11264" width="9.140625" style="390"/>
    <col min="11265" max="11265" width="4.140625" style="390" customWidth="1"/>
    <col min="11266" max="11266" width="59.140625" style="390" customWidth="1"/>
    <col min="11267" max="11267" width="9.7109375" style="390" customWidth="1"/>
    <col min="11268" max="11268" width="13.7109375" style="390" customWidth="1"/>
    <col min="11269" max="11272" width="0" style="390" hidden="1" customWidth="1"/>
    <col min="11273" max="11520" width="9.140625" style="390"/>
    <col min="11521" max="11521" width="4.140625" style="390" customWidth="1"/>
    <col min="11522" max="11522" width="59.140625" style="390" customWidth="1"/>
    <col min="11523" max="11523" width="9.7109375" style="390" customWidth="1"/>
    <col min="11524" max="11524" width="13.7109375" style="390" customWidth="1"/>
    <col min="11525" max="11528" width="0" style="390" hidden="1" customWidth="1"/>
    <col min="11529" max="11776" width="9.140625" style="390"/>
    <col min="11777" max="11777" width="4.140625" style="390" customWidth="1"/>
    <col min="11778" max="11778" width="59.140625" style="390" customWidth="1"/>
    <col min="11779" max="11779" width="9.7109375" style="390" customWidth="1"/>
    <col min="11780" max="11780" width="13.7109375" style="390" customWidth="1"/>
    <col min="11781" max="11784" width="0" style="390" hidden="1" customWidth="1"/>
    <col min="11785" max="12032" width="9.140625" style="390"/>
    <col min="12033" max="12033" width="4.140625" style="390" customWidth="1"/>
    <col min="12034" max="12034" width="59.140625" style="390" customWidth="1"/>
    <col min="12035" max="12035" width="9.7109375" style="390" customWidth="1"/>
    <col min="12036" max="12036" width="13.7109375" style="390" customWidth="1"/>
    <col min="12037" max="12040" width="0" style="390" hidden="1" customWidth="1"/>
    <col min="12041" max="12288" width="9.140625" style="390"/>
    <col min="12289" max="12289" width="4.140625" style="390" customWidth="1"/>
    <col min="12290" max="12290" width="59.140625" style="390" customWidth="1"/>
    <col min="12291" max="12291" width="9.7109375" style="390" customWidth="1"/>
    <col min="12292" max="12292" width="13.7109375" style="390" customWidth="1"/>
    <col min="12293" max="12296" width="0" style="390" hidden="1" customWidth="1"/>
    <col min="12297" max="12544" width="9.140625" style="390"/>
    <col min="12545" max="12545" width="4.140625" style="390" customWidth="1"/>
    <col min="12546" max="12546" width="59.140625" style="390" customWidth="1"/>
    <col min="12547" max="12547" width="9.7109375" style="390" customWidth="1"/>
    <col min="12548" max="12548" width="13.7109375" style="390" customWidth="1"/>
    <col min="12549" max="12552" width="0" style="390" hidden="1" customWidth="1"/>
    <col min="12553" max="12800" width="9.140625" style="390"/>
    <col min="12801" max="12801" width="4.140625" style="390" customWidth="1"/>
    <col min="12802" max="12802" width="59.140625" style="390" customWidth="1"/>
    <col min="12803" max="12803" width="9.7109375" style="390" customWidth="1"/>
    <col min="12804" max="12804" width="13.7109375" style="390" customWidth="1"/>
    <col min="12805" max="12808" width="0" style="390" hidden="1" customWidth="1"/>
    <col min="12809" max="13056" width="9.140625" style="390"/>
    <col min="13057" max="13057" width="4.140625" style="390" customWidth="1"/>
    <col min="13058" max="13058" width="59.140625" style="390" customWidth="1"/>
    <col min="13059" max="13059" width="9.7109375" style="390" customWidth="1"/>
    <col min="13060" max="13060" width="13.7109375" style="390" customWidth="1"/>
    <col min="13061" max="13064" width="0" style="390" hidden="1" customWidth="1"/>
    <col min="13065" max="13312" width="9.140625" style="390"/>
    <col min="13313" max="13313" width="4.140625" style="390" customWidth="1"/>
    <col min="13314" max="13314" width="59.140625" style="390" customWidth="1"/>
    <col min="13315" max="13315" width="9.7109375" style="390" customWidth="1"/>
    <col min="13316" max="13316" width="13.7109375" style="390" customWidth="1"/>
    <col min="13317" max="13320" width="0" style="390" hidden="1" customWidth="1"/>
    <col min="13321" max="13568" width="9.140625" style="390"/>
    <col min="13569" max="13569" width="4.140625" style="390" customWidth="1"/>
    <col min="13570" max="13570" width="59.140625" style="390" customWidth="1"/>
    <col min="13571" max="13571" width="9.7109375" style="390" customWidth="1"/>
    <col min="13572" max="13572" width="13.7109375" style="390" customWidth="1"/>
    <col min="13573" max="13576" width="0" style="390" hidden="1" customWidth="1"/>
    <col min="13577" max="13824" width="9.140625" style="390"/>
    <col min="13825" max="13825" width="4.140625" style="390" customWidth="1"/>
    <col min="13826" max="13826" width="59.140625" style="390" customWidth="1"/>
    <col min="13827" max="13827" width="9.7109375" style="390" customWidth="1"/>
    <col min="13828" max="13828" width="13.7109375" style="390" customWidth="1"/>
    <col min="13829" max="13832" width="0" style="390" hidden="1" customWidth="1"/>
    <col min="13833" max="14080" width="9.140625" style="390"/>
    <col min="14081" max="14081" width="4.140625" style="390" customWidth="1"/>
    <col min="14082" max="14082" width="59.140625" style="390" customWidth="1"/>
    <col min="14083" max="14083" width="9.7109375" style="390" customWidth="1"/>
    <col min="14084" max="14084" width="13.7109375" style="390" customWidth="1"/>
    <col min="14085" max="14088" width="0" style="390" hidden="1" customWidth="1"/>
    <col min="14089" max="14336" width="9.140625" style="390"/>
    <col min="14337" max="14337" width="4.140625" style="390" customWidth="1"/>
    <col min="14338" max="14338" width="59.140625" style="390" customWidth="1"/>
    <col min="14339" max="14339" width="9.7109375" style="390" customWidth="1"/>
    <col min="14340" max="14340" width="13.7109375" style="390" customWidth="1"/>
    <col min="14341" max="14344" width="0" style="390" hidden="1" customWidth="1"/>
    <col min="14345" max="14592" width="9.140625" style="390"/>
    <col min="14593" max="14593" width="4.140625" style="390" customWidth="1"/>
    <col min="14594" max="14594" width="59.140625" style="390" customWidth="1"/>
    <col min="14595" max="14595" width="9.7109375" style="390" customWidth="1"/>
    <col min="14596" max="14596" width="13.7109375" style="390" customWidth="1"/>
    <col min="14597" max="14600" width="0" style="390" hidden="1" customWidth="1"/>
    <col min="14601" max="14848" width="9.140625" style="390"/>
    <col min="14849" max="14849" width="4.140625" style="390" customWidth="1"/>
    <col min="14850" max="14850" width="59.140625" style="390" customWidth="1"/>
    <col min="14851" max="14851" width="9.7109375" style="390" customWidth="1"/>
    <col min="14852" max="14852" width="13.7109375" style="390" customWidth="1"/>
    <col min="14853" max="14856" width="0" style="390" hidden="1" customWidth="1"/>
    <col min="14857" max="15104" width="9.140625" style="390"/>
    <col min="15105" max="15105" width="4.140625" style="390" customWidth="1"/>
    <col min="15106" max="15106" width="59.140625" style="390" customWidth="1"/>
    <col min="15107" max="15107" width="9.7109375" style="390" customWidth="1"/>
    <col min="15108" max="15108" width="13.7109375" style="390" customWidth="1"/>
    <col min="15109" max="15112" width="0" style="390" hidden="1" customWidth="1"/>
    <col min="15113" max="15360" width="9.140625" style="390"/>
    <col min="15361" max="15361" width="4.140625" style="390" customWidth="1"/>
    <col min="15362" max="15362" width="59.140625" style="390" customWidth="1"/>
    <col min="15363" max="15363" width="9.7109375" style="390" customWidth="1"/>
    <col min="15364" max="15364" width="13.7109375" style="390" customWidth="1"/>
    <col min="15365" max="15368" width="0" style="390" hidden="1" customWidth="1"/>
    <col min="15369" max="15616" width="9.140625" style="390"/>
    <col min="15617" max="15617" width="4.140625" style="390" customWidth="1"/>
    <col min="15618" max="15618" width="59.140625" style="390" customWidth="1"/>
    <col min="15619" max="15619" width="9.7109375" style="390" customWidth="1"/>
    <col min="15620" max="15620" width="13.7109375" style="390" customWidth="1"/>
    <col min="15621" max="15624" width="0" style="390" hidden="1" customWidth="1"/>
    <col min="15625" max="15872" width="9.140625" style="390"/>
    <col min="15873" max="15873" width="4.140625" style="390" customWidth="1"/>
    <col min="15874" max="15874" width="59.140625" style="390" customWidth="1"/>
    <col min="15875" max="15875" width="9.7109375" style="390" customWidth="1"/>
    <col min="15876" max="15876" width="13.7109375" style="390" customWidth="1"/>
    <col min="15877" max="15880" width="0" style="390" hidden="1" customWidth="1"/>
    <col min="15881" max="16128" width="9.140625" style="390"/>
    <col min="16129" max="16129" width="4.140625" style="390" customWidth="1"/>
    <col min="16130" max="16130" width="59.140625" style="390" customWidth="1"/>
    <col min="16131" max="16131" width="9.7109375" style="390" customWidth="1"/>
    <col min="16132" max="16132" width="13.7109375" style="390" customWidth="1"/>
    <col min="16133" max="16136" width="0" style="390" hidden="1" customWidth="1"/>
    <col min="16137" max="16384" width="9.140625" style="390"/>
  </cols>
  <sheetData>
    <row r="1" spans="1:10" x14ac:dyDescent="0.2">
      <c r="A1" s="717"/>
      <c r="B1" s="336"/>
      <c r="C1" s="336" t="s">
        <v>1068</v>
      </c>
    </row>
    <row r="2" spans="1:10" x14ac:dyDescent="0.2">
      <c r="B2" s="336"/>
      <c r="C2" s="336" t="s">
        <v>80</v>
      </c>
    </row>
    <row r="3" spans="1:10" x14ac:dyDescent="0.2">
      <c r="B3" s="228"/>
      <c r="C3" s="336" t="s">
        <v>81</v>
      </c>
    </row>
    <row r="4" spans="1:10" x14ac:dyDescent="0.2">
      <c r="B4" s="336"/>
      <c r="C4" s="336" t="s">
        <v>82</v>
      </c>
    </row>
    <row r="5" spans="1:10" ht="22.5" customHeight="1" x14ac:dyDescent="0.2">
      <c r="C5" s="336"/>
    </row>
    <row r="6" spans="1:10" ht="25.5" customHeight="1" x14ac:dyDescent="0.25">
      <c r="A6" s="1179" t="s">
        <v>1069</v>
      </c>
      <c r="B6" s="1179"/>
      <c r="C6" s="1179"/>
      <c r="D6" s="1179"/>
    </row>
    <row r="7" spans="1:10" ht="23.25" customHeight="1" x14ac:dyDescent="0.2">
      <c r="D7" s="719" t="s">
        <v>2</v>
      </c>
    </row>
    <row r="8" spans="1:10" ht="28.5" customHeight="1" x14ac:dyDescent="0.25">
      <c r="A8" s="720" t="s">
        <v>950</v>
      </c>
      <c r="B8" s="720" t="s">
        <v>1070</v>
      </c>
      <c r="C8" s="721" t="s">
        <v>1071</v>
      </c>
      <c r="D8" s="721" t="s">
        <v>1072</v>
      </c>
    </row>
    <row r="9" spans="1:10" s="724" customFormat="1" ht="12" customHeight="1" x14ac:dyDescent="0.25">
      <c r="A9" s="722">
        <v>1</v>
      </c>
      <c r="B9" s="722">
        <v>2</v>
      </c>
      <c r="C9" s="723">
        <v>3</v>
      </c>
      <c r="D9" s="723">
        <v>4</v>
      </c>
      <c r="G9" s="725" t="s">
        <v>1073</v>
      </c>
      <c r="H9" s="390"/>
    </row>
    <row r="10" spans="1:10" ht="15.75" customHeight="1" x14ac:dyDescent="0.25">
      <c r="A10" s="1180" t="s">
        <v>1074</v>
      </c>
      <c r="B10" s="1180"/>
      <c r="C10" s="726"/>
      <c r="D10" s="727">
        <f>SUM(D11,D14,D15,D17,D18,D19,D20,D21,D22,D23,D26)</f>
        <v>208951821.03</v>
      </c>
      <c r="G10" s="728">
        <f>SUM(D12,D15,D17,D24)</f>
        <v>178033821.03</v>
      </c>
      <c r="H10" s="729">
        <f>SUM(D10-D29)</f>
        <v>178033821.03</v>
      </c>
      <c r="J10" s="730"/>
    </row>
    <row r="11" spans="1:10" ht="15.75" customHeight="1" x14ac:dyDescent="0.25">
      <c r="A11" s="731" t="s">
        <v>1075</v>
      </c>
      <c r="B11" s="732" t="s">
        <v>1076</v>
      </c>
      <c r="C11" s="733" t="s">
        <v>1077</v>
      </c>
      <c r="D11" s="734">
        <f>SUM(D12:D13)</f>
        <v>162782418.18000001</v>
      </c>
      <c r="F11" s="735"/>
      <c r="G11" s="736"/>
    </row>
    <row r="12" spans="1:10" ht="15.75" customHeight="1" x14ac:dyDescent="0.25">
      <c r="A12" s="737" t="s">
        <v>1078</v>
      </c>
      <c r="B12" s="738" t="s">
        <v>1079</v>
      </c>
      <c r="C12" s="739"/>
      <c r="D12" s="740">
        <v>131864418.18000001</v>
      </c>
    </row>
    <row r="13" spans="1:10" ht="14.25" customHeight="1" x14ac:dyDescent="0.25">
      <c r="A13" s="741" t="s">
        <v>1080</v>
      </c>
      <c r="B13" s="742" t="s">
        <v>1081</v>
      </c>
      <c r="C13" s="743"/>
      <c r="D13" s="744">
        <v>30918000</v>
      </c>
    </row>
    <row r="14" spans="1:10" ht="22.5" x14ac:dyDescent="0.25">
      <c r="A14" s="737" t="s">
        <v>1082</v>
      </c>
      <c r="B14" s="745" t="s">
        <v>1083</v>
      </c>
      <c r="C14" s="746" t="s">
        <v>1084</v>
      </c>
      <c r="D14" s="740"/>
    </row>
    <row r="15" spans="1:10" ht="39.75" customHeight="1" x14ac:dyDescent="0.25">
      <c r="A15" s="747" t="s">
        <v>1085</v>
      </c>
      <c r="B15" s="748" t="s">
        <v>1086</v>
      </c>
      <c r="C15" s="733" t="s">
        <v>1087</v>
      </c>
      <c r="D15" s="734"/>
      <c r="G15" s="749">
        <f>SUM(D15,D17)</f>
        <v>0</v>
      </c>
      <c r="H15" s="750" t="s">
        <v>1088</v>
      </c>
    </row>
    <row r="16" spans="1:10" ht="4.5" customHeight="1" x14ac:dyDescent="0.25">
      <c r="A16" s="751"/>
      <c r="B16" s="752"/>
      <c r="C16" s="739"/>
      <c r="D16" s="740"/>
    </row>
    <row r="17" spans="1:9" ht="38.25" customHeight="1" x14ac:dyDescent="0.25">
      <c r="A17" s="753" t="s">
        <v>1089</v>
      </c>
      <c r="B17" s="754" t="s">
        <v>1090</v>
      </c>
      <c r="C17" s="755" t="s">
        <v>1091</v>
      </c>
      <c r="D17" s="756"/>
    </row>
    <row r="18" spans="1:9" ht="38.25" customHeight="1" x14ac:dyDescent="0.25">
      <c r="A18" s="741" t="s">
        <v>1092</v>
      </c>
      <c r="B18" s="757" t="s">
        <v>1093</v>
      </c>
      <c r="C18" s="758" t="s">
        <v>1094</v>
      </c>
      <c r="D18" s="744"/>
    </row>
    <row r="19" spans="1:9" ht="14.25" customHeight="1" x14ac:dyDescent="0.25">
      <c r="A19" s="759" t="s">
        <v>1095</v>
      </c>
      <c r="B19" s="760" t="s">
        <v>1096</v>
      </c>
      <c r="C19" s="761" t="s">
        <v>1097</v>
      </c>
      <c r="D19" s="744"/>
    </row>
    <row r="20" spans="1:9" ht="15" customHeight="1" x14ac:dyDescent="0.25">
      <c r="A20" s="753" t="s">
        <v>1098</v>
      </c>
      <c r="B20" s="762" t="s">
        <v>1099</v>
      </c>
      <c r="C20" s="755" t="s">
        <v>1100</v>
      </c>
      <c r="D20" s="756"/>
    </row>
    <row r="21" spans="1:9" ht="16.5" customHeight="1" x14ac:dyDescent="0.25">
      <c r="A21" s="753" t="s">
        <v>1101</v>
      </c>
      <c r="B21" s="762" t="s">
        <v>1102</v>
      </c>
      <c r="C21" s="755" t="s">
        <v>1103</v>
      </c>
      <c r="D21" s="756"/>
      <c r="G21" s="763">
        <f>SUM(D15,D17,D24)</f>
        <v>46169402.850000001</v>
      </c>
      <c r="H21" s="750" t="s">
        <v>1104</v>
      </c>
    </row>
    <row r="22" spans="1:9" ht="13.5" customHeight="1" x14ac:dyDescent="0.25">
      <c r="A22" s="731" t="s">
        <v>1105</v>
      </c>
      <c r="B22" s="764" t="s">
        <v>1106</v>
      </c>
      <c r="C22" s="726" t="s">
        <v>1107</v>
      </c>
      <c r="D22" s="734"/>
    </row>
    <row r="23" spans="1:9" ht="13.5" customHeight="1" x14ac:dyDescent="0.25">
      <c r="A23" s="731" t="s">
        <v>1108</v>
      </c>
      <c r="B23" s="764" t="s">
        <v>1109</v>
      </c>
      <c r="C23" s="726" t="s">
        <v>1110</v>
      </c>
      <c r="D23" s="765">
        <f>SUM(D24)</f>
        <v>46169402.850000001</v>
      </c>
      <c r="G23" s="766">
        <f>SUM(D23)</f>
        <v>46169402.850000001</v>
      </c>
      <c r="H23" s="750" t="s">
        <v>1111</v>
      </c>
    </row>
    <row r="24" spans="1:9" ht="13.5" customHeight="1" x14ac:dyDescent="0.25">
      <c r="A24" s="737" t="s">
        <v>1078</v>
      </c>
      <c r="B24" s="767" t="s">
        <v>1079</v>
      </c>
      <c r="C24" s="746"/>
      <c r="D24" s="740">
        <v>46169402.850000001</v>
      </c>
    </row>
    <row r="25" spans="1:9" ht="13.5" customHeight="1" x14ac:dyDescent="0.25">
      <c r="A25" s="741" t="s">
        <v>1080</v>
      </c>
      <c r="B25" s="768" t="s">
        <v>1081</v>
      </c>
      <c r="C25" s="758"/>
      <c r="D25" s="769"/>
    </row>
    <row r="26" spans="1:9" ht="13.5" customHeight="1" x14ac:dyDescent="0.25">
      <c r="A26" s="737" t="s">
        <v>1112</v>
      </c>
      <c r="B26" s="767" t="s">
        <v>1113</v>
      </c>
      <c r="C26" s="746" t="s">
        <v>1114</v>
      </c>
      <c r="D26" s="770"/>
      <c r="G26" s="771"/>
      <c r="H26" s="772"/>
    </row>
    <row r="27" spans="1:9" ht="13.5" customHeight="1" x14ac:dyDescent="0.25">
      <c r="A27" s="737" t="s">
        <v>1078</v>
      </c>
      <c r="B27" s="767" t="s">
        <v>1079</v>
      </c>
      <c r="C27" s="746"/>
      <c r="D27" s="773"/>
    </row>
    <row r="28" spans="1:9" ht="13.5" customHeight="1" x14ac:dyDescent="0.25">
      <c r="A28" s="741" t="s">
        <v>1080</v>
      </c>
      <c r="B28" s="768" t="s">
        <v>1081</v>
      </c>
      <c r="C28" s="758"/>
      <c r="D28" s="774"/>
      <c r="G28" s="775"/>
      <c r="H28" s="730"/>
      <c r="I28" s="724"/>
    </row>
    <row r="29" spans="1:9" ht="16.5" customHeight="1" x14ac:dyDescent="0.25">
      <c r="A29" s="1181" t="s">
        <v>1115</v>
      </c>
      <c r="B29" s="1181"/>
      <c r="C29" s="746"/>
      <c r="D29" s="776">
        <f>SUM(D30,D32,D33,D34,D35,D36,D37)</f>
        <v>30918000</v>
      </c>
      <c r="G29" s="775"/>
    </row>
    <row r="30" spans="1:9" ht="16.5" customHeight="1" x14ac:dyDescent="0.25">
      <c r="A30" s="731" t="s">
        <v>1075</v>
      </c>
      <c r="B30" s="777" t="s">
        <v>1116</v>
      </c>
      <c r="C30" s="726" t="s">
        <v>1117</v>
      </c>
      <c r="D30" s="734">
        <v>28918000</v>
      </c>
    </row>
    <row r="31" spans="1:9" ht="12.75" customHeight="1" x14ac:dyDescent="0.25">
      <c r="A31" s="759" t="s">
        <v>1078</v>
      </c>
      <c r="B31" s="757" t="s">
        <v>1118</v>
      </c>
      <c r="C31" s="758"/>
      <c r="D31" s="744"/>
    </row>
    <row r="32" spans="1:9" ht="24" customHeight="1" x14ac:dyDescent="0.25">
      <c r="A32" s="753" t="s">
        <v>1082</v>
      </c>
      <c r="B32" s="754" t="s">
        <v>1119</v>
      </c>
      <c r="C32" s="755" t="s">
        <v>1120</v>
      </c>
      <c r="D32" s="756"/>
    </row>
    <row r="33" spans="1:4" ht="18.75" customHeight="1" x14ac:dyDescent="0.25">
      <c r="A33" s="753" t="s">
        <v>1085</v>
      </c>
      <c r="B33" s="754" t="s">
        <v>1121</v>
      </c>
      <c r="C33" s="755" t="s">
        <v>1122</v>
      </c>
      <c r="D33" s="744"/>
    </row>
    <row r="34" spans="1:4" ht="16.5" customHeight="1" x14ac:dyDescent="0.25">
      <c r="A34" s="753" t="s">
        <v>1089</v>
      </c>
      <c r="B34" s="762" t="s">
        <v>1123</v>
      </c>
      <c r="C34" s="755" t="s">
        <v>1124</v>
      </c>
      <c r="D34" s="756"/>
    </row>
    <row r="35" spans="1:4" ht="16.5" customHeight="1" x14ac:dyDescent="0.25">
      <c r="A35" s="753" t="s">
        <v>1092</v>
      </c>
      <c r="B35" s="762" t="s">
        <v>1125</v>
      </c>
      <c r="C35" s="755" t="s">
        <v>1114</v>
      </c>
      <c r="D35" s="756"/>
    </row>
    <row r="36" spans="1:4" ht="16.5" customHeight="1" x14ac:dyDescent="0.25">
      <c r="A36" s="753" t="s">
        <v>1095</v>
      </c>
      <c r="B36" s="762" t="s">
        <v>1126</v>
      </c>
      <c r="C36" s="755" t="s">
        <v>1127</v>
      </c>
      <c r="D36" s="756">
        <v>2000000</v>
      </c>
    </row>
    <row r="37" spans="1:4" ht="16.5" customHeight="1" x14ac:dyDescent="0.25">
      <c r="A37" s="753" t="s">
        <v>1098</v>
      </c>
      <c r="B37" s="762" t="s">
        <v>1128</v>
      </c>
      <c r="C37" s="755" t="s">
        <v>1129</v>
      </c>
      <c r="D37" s="756"/>
    </row>
    <row r="38" spans="1:4" ht="12.75" customHeight="1" x14ac:dyDescent="0.25">
      <c r="A38" s="778"/>
    </row>
    <row r="39" spans="1:4" ht="12.75" customHeight="1" x14ac:dyDescent="0.25">
      <c r="A39" s="778"/>
      <c r="D39" s="779"/>
    </row>
  </sheetData>
  <mergeCells count="3">
    <mergeCell ref="A6:D6"/>
    <mergeCell ref="A10:B10"/>
    <mergeCell ref="A29:B29"/>
  </mergeCells>
  <pageMargins left="0.78740157480314965" right="0.39370078740157483" top="0.74803149606299213" bottom="0.74803149606299213" header="0.31496062992125984" footer="0.31496062992125984"/>
  <pageSetup paperSize="9" firstPageNumber="61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78C5E3-905A-4410-AD9E-2D7F3162EE7E}">
  <dimension ref="A1:AF18"/>
  <sheetViews>
    <sheetView zoomScale="130" zoomScaleNormal="130" workbookViewId="0">
      <selection activeCell="A10" sqref="A10:I18"/>
    </sheetView>
  </sheetViews>
  <sheetFormatPr defaultRowHeight="12" x14ac:dyDescent="0.2"/>
  <cols>
    <col min="1" max="1" width="4.28515625" style="780" customWidth="1"/>
    <col min="2" max="2" width="8.7109375" style="780" customWidth="1"/>
    <col min="3" max="3" width="5.5703125" style="780" customWidth="1"/>
    <col min="4" max="4" width="11.42578125" style="780" customWidth="1"/>
    <col min="5" max="5" width="12" style="780" customWidth="1"/>
    <col min="6" max="6" width="11.7109375" style="780" customWidth="1"/>
    <col min="7" max="7" width="12.5703125" style="780" customWidth="1"/>
    <col min="8" max="8" width="11.7109375" style="783" customWidth="1"/>
    <col min="9" max="9" width="10.42578125" style="783" customWidth="1"/>
    <col min="10" max="32" width="8.85546875" style="783" customWidth="1"/>
    <col min="33" max="256" width="9.140625" style="780"/>
    <col min="257" max="257" width="4.28515625" style="780" customWidth="1"/>
    <col min="258" max="258" width="8.7109375" style="780" customWidth="1"/>
    <col min="259" max="259" width="5.5703125" style="780" customWidth="1"/>
    <col min="260" max="260" width="11.42578125" style="780" customWidth="1"/>
    <col min="261" max="261" width="12" style="780" customWidth="1"/>
    <col min="262" max="262" width="11.7109375" style="780" customWidth="1"/>
    <col min="263" max="263" width="12.5703125" style="780" customWidth="1"/>
    <col min="264" max="264" width="11.7109375" style="780" customWidth="1"/>
    <col min="265" max="265" width="10.42578125" style="780" customWidth="1"/>
    <col min="266" max="288" width="8.85546875" style="780" customWidth="1"/>
    <col min="289" max="512" width="9.140625" style="780"/>
    <col min="513" max="513" width="4.28515625" style="780" customWidth="1"/>
    <col min="514" max="514" width="8.7109375" style="780" customWidth="1"/>
    <col min="515" max="515" width="5.5703125" style="780" customWidth="1"/>
    <col min="516" max="516" width="11.42578125" style="780" customWidth="1"/>
    <col min="517" max="517" width="12" style="780" customWidth="1"/>
    <col min="518" max="518" width="11.7109375" style="780" customWidth="1"/>
    <col min="519" max="519" width="12.5703125" style="780" customWidth="1"/>
    <col min="520" max="520" width="11.7109375" style="780" customWidth="1"/>
    <col min="521" max="521" width="10.42578125" style="780" customWidth="1"/>
    <col min="522" max="544" width="8.85546875" style="780" customWidth="1"/>
    <col min="545" max="768" width="9.140625" style="780"/>
    <col min="769" max="769" width="4.28515625" style="780" customWidth="1"/>
    <col min="770" max="770" width="8.7109375" style="780" customWidth="1"/>
    <col min="771" max="771" width="5.5703125" style="780" customWidth="1"/>
    <col min="772" max="772" width="11.42578125" style="780" customWidth="1"/>
    <col min="773" max="773" width="12" style="780" customWidth="1"/>
    <col min="774" max="774" width="11.7109375" style="780" customWidth="1"/>
    <col min="775" max="775" width="12.5703125" style="780" customWidth="1"/>
    <col min="776" max="776" width="11.7109375" style="780" customWidth="1"/>
    <col min="777" max="777" width="10.42578125" style="780" customWidth="1"/>
    <col min="778" max="800" width="8.85546875" style="780" customWidth="1"/>
    <col min="801" max="1024" width="9.140625" style="780"/>
    <col min="1025" max="1025" width="4.28515625" style="780" customWidth="1"/>
    <col min="1026" max="1026" width="8.7109375" style="780" customWidth="1"/>
    <col min="1027" max="1027" width="5.5703125" style="780" customWidth="1"/>
    <col min="1028" max="1028" width="11.42578125" style="780" customWidth="1"/>
    <col min="1029" max="1029" width="12" style="780" customWidth="1"/>
    <col min="1030" max="1030" width="11.7109375" style="780" customWidth="1"/>
    <col min="1031" max="1031" width="12.5703125" style="780" customWidth="1"/>
    <col min="1032" max="1032" width="11.7109375" style="780" customWidth="1"/>
    <col min="1033" max="1033" width="10.42578125" style="780" customWidth="1"/>
    <col min="1034" max="1056" width="8.85546875" style="780" customWidth="1"/>
    <col min="1057" max="1280" width="9.140625" style="780"/>
    <col min="1281" max="1281" width="4.28515625" style="780" customWidth="1"/>
    <col min="1282" max="1282" width="8.7109375" style="780" customWidth="1"/>
    <col min="1283" max="1283" width="5.5703125" style="780" customWidth="1"/>
    <col min="1284" max="1284" width="11.42578125" style="780" customWidth="1"/>
    <col min="1285" max="1285" width="12" style="780" customWidth="1"/>
    <col min="1286" max="1286" width="11.7109375" style="780" customWidth="1"/>
    <col min="1287" max="1287" width="12.5703125" style="780" customWidth="1"/>
    <col min="1288" max="1288" width="11.7109375" style="780" customWidth="1"/>
    <col min="1289" max="1289" width="10.42578125" style="780" customWidth="1"/>
    <col min="1290" max="1312" width="8.85546875" style="780" customWidth="1"/>
    <col min="1313" max="1536" width="9.140625" style="780"/>
    <col min="1537" max="1537" width="4.28515625" style="780" customWidth="1"/>
    <col min="1538" max="1538" width="8.7109375" style="780" customWidth="1"/>
    <col min="1539" max="1539" width="5.5703125" style="780" customWidth="1"/>
    <col min="1540" max="1540" width="11.42578125" style="780" customWidth="1"/>
    <col min="1541" max="1541" width="12" style="780" customWidth="1"/>
    <col min="1542" max="1542" width="11.7109375" style="780" customWidth="1"/>
    <col min="1543" max="1543" width="12.5703125" style="780" customWidth="1"/>
    <col min="1544" max="1544" width="11.7109375" style="780" customWidth="1"/>
    <col min="1545" max="1545" width="10.42578125" style="780" customWidth="1"/>
    <col min="1546" max="1568" width="8.85546875" style="780" customWidth="1"/>
    <col min="1569" max="1792" width="9.140625" style="780"/>
    <col min="1793" max="1793" width="4.28515625" style="780" customWidth="1"/>
    <col min="1794" max="1794" width="8.7109375" style="780" customWidth="1"/>
    <col min="1795" max="1795" width="5.5703125" style="780" customWidth="1"/>
    <col min="1796" max="1796" width="11.42578125" style="780" customWidth="1"/>
    <col min="1797" max="1797" width="12" style="780" customWidth="1"/>
    <col min="1798" max="1798" width="11.7109375" style="780" customWidth="1"/>
    <col min="1799" max="1799" width="12.5703125" style="780" customWidth="1"/>
    <col min="1800" max="1800" width="11.7109375" style="780" customWidth="1"/>
    <col min="1801" max="1801" width="10.42578125" style="780" customWidth="1"/>
    <col min="1802" max="1824" width="8.85546875" style="780" customWidth="1"/>
    <col min="1825" max="2048" width="9.140625" style="780"/>
    <col min="2049" max="2049" width="4.28515625" style="780" customWidth="1"/>
    <col min="2050" max="2050" width="8.7109375" style="780" customWidth="1"/>
    <col min="2051" max="2051" width="5.5703125" style="780" customWidth="1"/>
    <col min="2052" max="2052" width="11.42578125" style="780" customWidth="1"/>
    <col min="2053" max="2053" width="12" style="780" customWidth="1"/>
    <col min="2054" max="2054" width="11.7109375" style="780" customWidth="1"/>
    <col min="2055" max="2055" width="12.5703125" style="780" customWidth="1"/>
    <col min="2056" max="2056" width="11.7109375" style="780" customWidth="1"/>
    <col min="2057" max="2057" width="10.42578125" style="780" customWidth="1"/>
    <col min="2058" max="2080" width="8.85546875" style="780" customWidth="1"/>
    <col min="2081" max="2304" width="9.140625" style="780"/>
    <col min="2305" max="2305" width="4.28515625" style="780" customWidth="1"/>
    <col min="2306" max="2306" width="8.7109375" style="780" customWidth="1"/>
    <col min="2307" max="2307" width="5.5703125" style="780" customWidth="1"/>
    <col min="2308" max="2308" width="11.42578125" style="780" customWidth="1"/>
    <col min="2309" max="2309" width="12" style="780" customWidth="1"/>
    <col min="2310" max="2310" width="11.7109375" style="780" customWidth="1"/>
    <col min="2311" max="2311" width="12.5703125" style="780" customWidth="1"/>
    <col min="2312" max="2312" width="11.7109375" style="780" customWidth="1"/>
    <col min="2313" max="2313" width="10.42578125" style="780" customWidth="1"/>
    <col min="2314" max="2336" width="8.85546875" style="780" customWidth="1"/>
    <col min="2337" max="2560" width="9.140625" style="780"/>
    <col min="2561" max="2561" width="4.28515625" style="780" customWidth="1"/>
    <col min="2562" max="2562" width="8.7109375" style="780" customWidth="1"/>
    <col min="2563" max="2563" width="5.5703125" style="780" customWidth="1"/>
    <col min="2564" max="2564" width="11.42578125" style="780" customWidth="1"/>
    <col min="2565" max="2565" width="12" style="780" customWidth="1"/>
    <col min="2566" max="2566" width="11.7109375" style="780" customWidth="1"/>
    <col min="2567" max="2567" width="12.5703125" style="780" customWidth="1"/>
    <col min="2568" max="2568" width="11.7109375" style="780" customWidth="1"/>
    <col min="2569" max="2569" width="10.42578125" style="780" customWidth="1"/>
    <col min="2570" max="2592" width="8.85546875" style="780" customWidth="1"/>
    <col min="2593" max="2816" width="9.140625" style="780"/>
    <col min="2817" max="2817" width="4.28515625" style="780" customWidth="1"/>
    <col min="2818" max="2818" width="8.7109375" style="780" customWidth="1"/>
    <col min="2819" max="2819" width="5.5703125" style="780" customWidth="1"/>
    <col min="2820" max="2820" width="11.42578125" style="780" customWidth="1"/>
    <col min="2821" max="2821" width="12" style="780" customWidth="1"/>
    <col min="2822" max="2822" width="11.7109375" style="780" customWidth="1"/>
    <col min="2823" max="2823" width="12.5703125" style="780" customWidth="1"/>
    <col min="2824" max="2824" width="11.7109375" style="780" customWidth="1"/>
    <col min="2825" max="2825" width="10.42578125" style="780" customWidth="1"/>
    <col min="2826" max="2848" width="8.85546875" style="780" customWidth="1"/>
    <col min="2849" max="3072" width="9.140625" style="780"/>
    <col min="3073" max="3073" width="4.28515625" style="780" customWidth="1"/>
    <col min="3074" max="3074" width="8.7109375" style="780" customWidth="1"/>
    <col min="3075" max="3075" width="5.5703125" style="780" customWidth="1"/>
    <col min="3076" max="3076" width="11.42578125" style="780" customWidth="1"/>
    <col min="3077" max="3077" width="12" style="780" customWidth="1"/>
    <col min="3078" max="3078" width="11.7109375" style="780" customWidth="1"/>
    <col min="3079" max="3079" width="12.5703125" style="780" customWidth="1"/>
    <col min="3080" max="3080" width="11.7109375" style="780" customWidth="1"/>
    <col min="3081" max="3081" width="10.42578125" style="780" customWidth="1"/>
    <col min="3082" max="3104" width="8.85546875" style="780" customWidth="1"/>
    <col min="3105" max="3328" width="9.140625" style="780"/>
    <col min="3329" max="3329" width="4.28515625" style="780" customWidth="1"/>
    <col min="3330" max="3330" width="8.7109375" style="780" customWidth="1"/>
    <col min="3331" max="3331" width="5.5703125" style="780" customWidth="1"/>
    <col min="3332" max="3332" width="11.42578125" style="780" customWidth="1"/>
    <col min="3333" max="3333" width="12" style="780" customWidth="1"/>
    <col min="3334" max="3334" width="11.7109375" style="780" customWidth="1"/>
    <col min="3335" max="3335" width="12.5703125" style="780" customWidth="1"/>
    <col min="3336" max="3336" width="11.7109375" style="780" customWidth="1"/>
    <col min="3337" max="3337" width="10.42578125" style="780" customWidth="1"/>
    <col min="3338" max="3360" width="8.85546875" style="780" customWidth="1"/>
    <col min="3361" max="3584" width="9.140625" style="780"/>
    <col min="3585" max="3585" width="4.28515625" style="780" customWidth="1"/>
    <col min="3586" max="3586" width="8.7109375" style="780" customWidth="1"/>
    <col min="3587" max="3587" width="5.5703125" style="780" customWidth="1"/>
    <col min="3588" max="3588" width="11.42578125" style="780" customWidth="1"/>
    <col min="3589" max="3589" width="12" style="780" customWidth="1"/>
    <col min="3590" max="3590" width="11.7109375" style="780" customWidth="1"/>
    <col min="3591" max="3591" width="12.5703125" style="780" customWidth="1"/>
    <col min="3592" max="3592" width="11.7109375" style="780" customWidth="1"/>
    <col min="3593" max="3593" width="10.42578125" style="780" customWidth="1"/>
    <col min="3594" max="3616" width="8.85546875" style="780" customWidth="1"/>
    <col min="3617" max="3840" width="9.140625" style="780"/>
    <col min="3841" max="3841" width="4.28515625" style="780" customWidth="1"/>
    <col min="3842" max="3842" width="8.7109375" style="780" customWidth="1"/>
    <col min="3843" max="3843" width="5.5703125" style="780" customWidth="1"/>
    <col min="3844" max="3844" width="11.42578125" style="780" customWidth="1"/>
    <col min="3845" max="3845" width="12" style="780" customWidth="1"/>
    <col min="3846" max="3846" width="11.7109375" style="780" customWidth="1"/>
    <col min="3847" max="3847" width="12.5703125" style="780" customWidth="1"/>
    <col min="3848" max="3848" width="11.7109375" style="780" customWidth="1"/>
    <col min="3849" max="3849" width="10.42578125" style="780" customWidth="1"/>
    <col min="3850" max="3872" width="8.85546875" style="780" customWidth="1"/>
    <col min="3873" max="4096" width="9.140625" style="780"/>
    <col min="4097" max="4097" width="4.28515625" style="780" customWidth="1"/>
    <col min="4098" max="4098" width="8.7109375" style="780" customWidth="1"/>
    <col min="4099" max="4099" width="5.5703125" style="780" customWidth="1"/>
    <col min="4100" max="4100" width="11.42578125" style="780" customWidth="1"/>
    <col min="4101" max="4101" width="12" style="780" customWidth="1"/>
    <col min="4102" max="4102" width="11.7109375" style="780" customWidth="1"/>
    <col min="4103" max="4103" width="12.5703125" style="780" customWidth="1"/>
    <col min="4104" max="4104" width="11.7109375" style="780" customWidth="1"/>
    <col min="4105" max="4105" width="10.42578125" style="780" customWidth="1"/>
    <col min="4106" max="4128" width="8.85546875" style="780" customWidth="1"/>
    <col min="4129" max="4352" width="9.140625" style="780"/>
    <col min="4353" max="4353" width="4.28515625" style="780" customWidth="1"/>
    <col min="4354" max="4354" width="8.7109375" style="780" customWidth="1"/>
    <col min="4355" max="4355" width="5.5703125" style="780" customWidth="1"/>
    <col min="4356" max="4356" width="11.42578125" style="780" customWidth="1"/>
    <col min="4357" max="4357" width="12" style="780" customWidth="1"/>
    <col min="4358" max="4358" width="11.7109375" style="780" customWidth="1"/>
    <col min="4359" max="4359" width="12.5703125" style="780" customWidth="1"/>
    <col min="4360" max="4360" width="11.7109375" style="780" customWidth="1"/>
    <col min="4361" max="4361" width="10.42578125" style="780" customWidth="1"/>
    <col min="4362" max="4384" width="8.85546875" style="780" customWidth="1"/>
    <col min="4385" max="4608" width="9.140625" style="780"/>
    <col min="4609" max="4609" width="4.28515625" style="780" customWidth="1"/>
    <col min="4610" max="4610" width="8.7109375" style="780" customWidth="1"/>
    <col min="4611" max="4611" width="5.5703125" style="780" customWidth="1"/>
    <col min="4612" max="4612" width="11.42578125" style="780" customWidth="1"/>
    <col min="4613" max="4613" width="12" style="780" customWidth="1"/>
    <col min="4614" max="4614" width="11.7109375" style="780" customWidth="1"/>
    <col min="4615" max="4615" width="12.5703125" style="780" customWidth="1"/>
    <col min="4616" max="4616" width="11.7109375" style="780" customWidth="1"/>
    <col min="4617" max="4617" width="10.42578125" style="780" customWidth="1"/>
    <col min="4618" max="4640" width="8.85546875" style="780" customWidth="1"/>
    <col min="4641" max="4864" width="9.140625" style="780"/>
    <col min="4865" max="4865" width="4.28515625" style="780" customWidth="1"/>
    <col min="4866" max="4866" width="8.7109375" style="780" customWidth="1"/>
    <col min="4867" max="4867" width="5.5703125" style="780" customWidth="1"/>
    <col min="4868" max="4868" width="11.42578125" style="780" customWidth="1"/>
    <col min="4869" max="4869" width="12" style="780" customWidth="1"/>
    <col min="4870" max="4870" width="11.7109375" style="780" customWidth="1"/>
    <col min="4871" max="4871" width="12.5703125" style="780" customWidth="1"/>
    <col min="4872" max="4872" width="11.7109375" style="780" customWidth="1"/>
    <col min="4873" max="4873" width="10.42578125" style="780" customWidth="1"/>
    <col min="4874" max="4896" width="8.85546875" style="780" customWidth="1"/>
    <col min="4897" max="5120" width="9.140625" style="780"/>
    <col min="5121" max="5121" width="4.28515625" style="780" customWidth="1"/>
    <col min="5122" max="5122" width="8.7109375" style="780" customWidth="1"/>
    <col min="5123" max="5123" width="5.5703125" style="780" customWidth="1"/>
    <col min="5124" max="5124" width="11.42578125" style="780" customWidth="1"/>
    <col min="5125" max="5125" width="12" style="780" customWidth="1"/>
    <col min="5126" max="5126" width="11.7109375" style="780" customWidth="1"/>
    <col min="5127" max="5127" width="12.5703125" style="780" customWidth="1"/>
    <col min="5128" max="5128" width="11.7109375" style="780" customWidth="1"/>
    <col min="5129" max="5129" width="10.42578125" style="780" customWidth="1"/>
    <col min="5130" max="5152" width="8.85546875" style="780" customWidth="1"/>
    <col min="5153" max="5376" width="9.140625" style="780"/>
    <col min="5377" max="5377" width="4.28515625" style="780" customWidth="1"/>
    <col min="5378" max="5378" width="8.7109375" style="780" customWidth="1"/>
    <col min="5379" max="5379" width="5.5703125" style="780" customWidth="1"/>
    <col min="5380" max="5380" width="11.42578125" style="780" customWidth="1"/>
    <col min="5381" max="5381" width="12" style="780" customWidth="1"/>
    <col min="5382" max="5382" width="11.7109375" style="780" customWidth="1"/>
    <col min="5383" max="5383" width="12.5703125" style="780" customWidth="1"/>
    <col min="5384" max="5384" width="11.7109375" style="780" customWidth="1"/>
    <col min="5385" max="5385" width="10.42578125" style="780" customWidth="1"/>
    <col min="5386" max="5408" width="8.85546875" style="780" customWidth="1"/>
    <col min="5409" max="5632" width="9.140625" style="780"/>
    <col min="5633" max="5633" width="4.28515625" style="780" customWidth="1"/>
    <col min="5634" max="5634" width="8.7109375" style="780" customWidth="1"/>
    <col min="5635" max="5635" width="5.5703125" style="780" customWidth="1"/>
    <col min="5636" max="5636" width="11.42578125" style="780" customWidth="1"/>
    <col min="5637" max="5637" width="12" style="780" customWidth="1"/>
    <col min="5638" max="5638" width="11.7109375" style="780" customWidth="1"/>
    <col min="5639" max="5639" width="12.5703125" style="780" customWidth="1"/>
    <col min="5640" max="5640" width="11.7109375" style="780" customWidth="1"/>
    <col min="5641" max="5641" width="10.42578125" style="780" customWidth="1"/>
    <col min="5642" max="5664" width="8.85546875" style="780" customWidth="1"/>
    <col min="5665" max="5888" width="9.140625" style="780"/>
    <col min="5889" max="5889" width="4.28515625" style="780" customWidth="1"/>
    <col min="5890" max="5890" width="8.7109375" style="780" customWidth="1"/>
    <col min="5891" max="5891" width="5.5703125" style="780" customWidth="1"/>
    <col min="5892" max="5892" width="11.42578125" style="780" customWidth="1"/>
    <col min="5893" max="5893" width="12" style="780" customWidth="1"/>
    <col min="5894" max="5894" width="11.7109375" style="780" customWidth="1"/>
    <col min="5895" max="5895" width="12.5703125" style="780" customWidth="1"/>
    <col min="5896" max="5896" width="11.7109375" style="780" customWidth="1"/>
    <col min="5897" max="5897" width="10.42578125" style="780" customWidth="1"/>
    <col min="5898" max="5920" width="8.85546875" style="780" customWidth="1"/>
    <col min="5921" max="6144" width="9.140625" style="780"/>
    <col min="6145" max="6145" width="4.28515625" style="780" customWidth="1"/>
    <col min="6146" max="6146" width="8.7109375" style="780" customWidth="1"/>
    <col min="6147" max="6147" width="5.5703125" style="780" customWidth="1"/>
    <col min="6148" max="6148" width="11.42578125" style="780" customWidth="1"/>
    <col min="6149" max="6149" width="12" style="780" customWidth="1"/>
    <col min="6150" max="6150" width="11.7109375" style="780" customWidth="1"/>
    <col min="6151" max="6151" width="12.5703125" style="780" customWidth="1"/>
    <col min="6152" max="6152" width="11.7109375" style="780" customWidth="1"/>
    <col min="6153" max="6153" width="10.42578125" style="780" customWidth="1"/>
    <col min="6154" max="6176" width="8.85546875" style="780" customWidth="1"/>
    <col min="6177" max="6400" width="9.140625" style="780"/>
    <col min="6401" max="6401" width="4.28515625" style="780" customWidth="1"/>
    <col min="6402" max="6402" width="8.7109375" style="780" customWidth="1"/>
    <col min="6403" max="6403" width="5.5703125" style="780" customWidth="1"/>
    <col min="6404" max="6404" width="11.42578125" style="780" customWidth="1"/>
    <col min="6405" max="6405" width="12" style="780" customWidth="1"/>
    <col min="6406" max="6406" width="11.7109375" style="780" customWidth="1"/>
    <col min="6407" max="6407" width="12.5703125" style="780" customWidth="1"/>
    <col min="6408" max="6408" width="11.7109375" style="780" customWidth="1"/>
    <col min="6409" max="6409" width="10.42578125" style="780" customWidth="1"/>
    <col min="6410" max="6432" width="8.85546875" style="780" customWidth="1"/>
    <col min="6433" max="6656" width="9.140625" style="780"/>
    <col min="6657" max="6657" width="4.28515625" style="780" customWidth="1"/>
    <col min="6658" max="6658" width="8.7109375" style="780" customWidth="1"/>
    <col min="6659" max="6659" width="5.5703125" style="780" customWidth="1"/>
    <col min="6660" max="6660" width="11.42578125" style="780" customWidth="1"/>
    <col min="6661" max="6661" width="12" style="780" customWidth="1"/>
    <col min="6662" max="6662" width="11.7109375" style="780" customWidth="1"/>
    <col min="6663" max="6663" width="12.5703125" style="780" customWidth="1"/>
    <col min="6664" max="6664" width="11.7109375" style="780" customWidth="1"/>
    <col min="6665" max="6665" width="10.42578125" style="780" customWidth="1"/>
    <col min="6666" max="6688" width="8.85546875" style="780" customWidth="1"/>
    <col min="6689" max="6912" width="9.140625" style="780"/>
    <col min="6913" max="6913" width="4.28515625" style="780" customWidth="1"/>
    <col min="6914" max="6914" width="8.7109375" style="780" customWidth="1"/>
    <col min="6915" max="6915" width="5.5703125" style="780" customWidth="1"/>
    <col min="6916" max="6916" width="11.42578125" style="780" customWidth="1"/>
    <col min="6917" max="6917" width="12" style="780" customWidth="1"/>
    <col min="6918" max="6918" width="11.7109375" style="780" customWidth="1"/>
    <col min="6919" max="6919" width="12.5703125" style="780" customWidth="1"/>
    <col min="6920" max="6920" width="11.7109375" style="780" customWidth="1"/>
    <col min="6921" max="6921" width="10.42578125" style="780" customWidth="1"/>
    <col min="6922" max="6944" width="8.85546875" style="780" customWidth="1"/>
    <col min="6945" max="7168" width="9.140625" style="780"/>
    <col min="7169" max="7169" width="4.28515625" style="780" customWidth="1"/>
    <col min="7170" max="7170" width="8.7109375" style="780" customWidth="1"/>
    <col min="7171" max="7171" width="5.5703125" style="780" customWidth="1"/>
    <col min="7172" max="7172" width="11.42578125" style="780" customWidth="1"/>
    <col min="7173" max="7173" width="12" style="780" customWidth="1"/>
    <col min="7174" max="7174" width="11.7109375" style="780" customWidth="1"/>
    <col min="7175" max="7175" width="12.5703125" style="780" customWidth="1"/>
    <col min="7176" max="7176" width="11.7109375" style="780" customWidth="1"/>
    <col min="7177" max="7177" width="10.42578125" style="780" customWidth="1"/>
    <col min="7178" max="7200" width="8.85546875" style="780" customWidth="1"/>
    <col min="7201" max="7424" width="9.140625" style="780"/>
    <col min="7425" max="7425" width="4.28515625" style="780" customWidth="1"/>
    <col min="7426" max="7426" width="8.7109375" style="780" customWidth="1"/>
    <col min="7427" max="7427" width="5.5703125" style="780" customWidth="1"/>
    <col min="7428" max="7428" width="11.42578125" style="780" customWidth="1"/>
    <col min="7429" max="7429" width="12" style="780" customWidth="1"/>
    <col min="7430" max="7430" width="11.7109375" style="780" customWidth="1"/>
    <col min="7431" max="7431" width="12.5703125" style="780" customWidth="1"/>
    <col min="7432" max="7432" width="11.7109375" style="780" customWidth="1"/>
    <col min="7433" max="7433" width="10.42578125" style="780" customWidth="1"/>
    <col min="7434" max="7456" width="8.85546875" style="780" customWidth="1"/>
    <col min="7457" max="7680" width="9.140625" style="780"/>
    <col min="7681" max="7681" width="4.28515625" style="780" customWidth="1"/>
    <col min="7682" max="7682" width="8.7109375" style="780" customWidth="1"/>
    <col min="7683" max="7683" width="5.5703125" style="780" customWidth="1"/>
    <col min="7684" max="7684" width="11.42578125" style="780" customWidth="1"/>
    <col min="7685" max="7685" width="12" style="780" customWidth="1"/>
    <col min="7686" max="7686" width="11.7109375" style="780" customWidth="1"/>
    <col min="7687" max="7687" width="12.5703125" style="780" customWidth="1"/>
    <col min="7688" max="7688" width="11.7109375" style="780" customWidth="1"/>
    <col min="7689" max="7689" width="10.42578125" style="780" customWidth="1"/>
    <col min="7690" max="7712" width="8.85546875" style="780" customWidth="1"/>
    <col min="7713" max="7936" width="9.140625" style="780"/>
    <col min="7937" max="7937" width="4.28515625" style="780" customWidth="1"/>
    <col min="7938" max="7938" width="8.7109375" style="780" customWidth="1"/>
    <col min="7939" max="7939" width="5.5703125" style="780" customWidth="1"/>
    <col min="7940" max="7940" width="11.42578125" style="780" customWidth="1"/>
    <col min="7941" max="7941" width="12" style="780" customWidth="1"/>
    <col min="7942" max="7942" width="11.7109375" style="780" customWidth="1"/>
    <col min="7943" max="7943" width="12.5703125" style="780" customWidth="1"/>
    <col min="7944" max="7944" width="11.7109375" style="780" customWidth="1"/>
    <col min="7945" max="7945" width="10.42578125" style="780" customWidth="1"/>
    <col min="7946" max="7968" width="8.85546875" style="780" customWidth="1"/>
    <col min="7969" max="8192" width="9.140625" style="780"/>
    <col min="8193" max="8193" width="4.28515625" style="780" customWidth="1"/>
    <col min="8194" max="8194" width="8.7109375" style="780" customWidth="1"/>
    <col min="8195" max="8195" width="5.5703125" style="780" customWidth="1"/>
    <col min="8196" max="8196" width="11.42578125" style="780" customWidth="1"/>
    <col min="8197" max="8197" width="12" style="780" customWidth="1"/>
    <col min="8198" max="8198" width="11.7109375" style="780" customWidth="1"/>
    <col min="8199" max="8199" width="12.5703125" style="780" customWidth="1"/>
    <col min="8200" max="8200" width="11.7109375" style="780" customWidth="1"/>
    <col min="8201" max="8201" width="10.42578125" style="780" customWidth="1"/>
    <col min="8202" max="8224" width="8.85546875" style="780" customWidth="1"/>
    <col min="8225" max="8448" width="9.140625" style="780"/>
    <col min="8449" max="8449" width="4.28515625" style="780" customWidth="1"/>
    <col min="8450" max="8450" width="8.7109375" style="780" customWidth="1"/>
    <col min="8451" max="8451" width="5.5703125" style="780" customWidth="1"/>
    <col min="8452" max="8452" width="11.42578125" style="780" customWidth="1"/>
    <col min="8453" max="8453" width="12" style="780" customWidth="1"/>
    <col min="8454" max="8454" width="11.7109375" style="780" customWidth="1"/>
    <col min="8455" max="8455" width="12.5703125" style="780" customWidth="1"/>
    <col min="8456" max="8456" width="11.7109375" style="780" customWidth="1"/>
    <col min="8457" max="8457" width="10.42578125" style="780" customWidth="1"/>
    <col min="8458" max="8480" width="8.85546875" style="780" customWidth="1"/>
    <col min="8481" max="8704" width="9.140625" style="780"/>
    <col min="8705" max="8705" width="4.28515625" style="780" customWidth="1"/>
    <col min="8706" max="8706" width="8.7109375" style="780" customWidth="1"/>
    <col min="8707" max="8707" width="5.5703125" style="780" customWidth="1"/>
    <col min="8708" max="8708" width="11.42578125" style="780" customWidth="1"/>
    <col min="8709" max="8709" width="12" style="780" customWidth="1"/>
    <col min="8710" max="8710" width="11.7109375" style="780" customWidth="1"/>
    <col min="8711" max="8711" width="12.5703125" style="780" customWidth="1"/>
    <col min="8712" max="8712" width="11.7109375" style="780" customWidth="1"/>
    <col min="8713" max="8713" width="10.42578125" style="780" customWidth="1"/>
    <col min="8714" max="8736" width="8.85546875" style="780" customWidth="1"/>
    <col min="8737" max="8960" width="9.140625" style="780"/>
    <col min="8961" max="8961" width="4.28515625" style="780" customWidth="1"/>
    <col min="8962" max="8962" width="8.7109375" style="780" customWidth="1"/>
    <col min="8963" max="8963" width="5.5703125" style="780" customWidth="1"/>
    <col min="8964" max="8964" width="11.42578125" style="780" customWidth="1"/>
    <col min="8965" max="8965" width="12" style="780" customWidth="1"/>
    <col min="8966" max="8966" width="11.7109375" style="780" customWidth="1"/>
    <col min="8967" max="8967" width="12.5703125" style="780" customWidth="1"/>
    <col min="8968" max="8968" width="11.7109375" style="780" customWidth="1"/>
    <col min="8969" max="8969" width="10.42578125" style="780" customWidth="1"/>
    <col min="8970" max="8992" width="8.85546875" style="780" customWidth="1"/>
    <col min="8993" max="9216" width="9.140625" style="780"/>
    <col min="9217" max="9217" width="4.28515625" style="780" customWidth="1"/>
    <col min="9218" max="9218" width="8.7109375" style="780" customWidth="1"/>
    <col min="9219" max="9219" width="5.5703125" style="780" customWidth="1"/>
    <col min="9220" max="9220" width="11.42578125" style="780" customWidth="1"/>
    <col min="9221" max="9221" width="12" style="780" customWidth="1"/>
    <col min="9222" max="9222" width="11.7109375" style="780" customWidth="1"/>
    <col min="9223" max="9223" width="12.5703125" style="780" customWidth="1"/>
    <col min="9224" max="9224" width="11.7109375" style="780" customWidth="1"/>
    <col min="9225" max="9225" width="10.42578125" style="780" customWidth="1"/>
    <col min="9226" max="9248" width="8.85546875" style="780" customWidth="1"/>
    <col min="9249" max="9472" width="9.140625" style="780"/>
    <col min="9473" max="9473" width="4.28515625" style="780" customWidth="1"/>
    <col min="9474" max="9474" width="8.7109375" style="780" customWidth="1"/>
    <col min="9475" max="9475" width="5.5703125" style="780" customWidth="1"/>
    <col min="9476" max="9476" width="11.42578125" style="780" customWidth="1"/>
    <col min="9477" max="9477" width="12" style="780" customWidth="1"/>
    <col min="9478" max="9478" width="11.7109375" style="780" customWidth="1"/>
    <col min="9479" max="9479" width="12.5703125" style="780" customWidth="1"/>
    <col min="9480" max="9480" width="11.7109375" style="780" customWidth="1"/>
    <col min="9481" max="9481" width="10.42578125" style="780" customWidth="1"/>
    <col min="9482" max="9504" width="8.85546875" style="780" customWidth="1"/>
    <col min="9505" max="9728" width="9.140625" style="780"/>
    <col min="9729" max="9729" width="4.28515625" style="780" customWidth="1"/>
    <col min="9730" max="9730" width="8.7109375" style="780" customWidth="1"/>
    <col min="9731" max="9731" width="5.5703125" style="780" customWidth="1"/>
    <col min="9732" max="9732" width="11.42578125" style="780" customWidth="1"/>
    <col min="9733" max="9733" width="12" style="780" customWidth="1"/>
    <col min="9734" max="9734" width="11.7109375" style="780" customWidth="1"/>
    <col min="9735" max="9735" width="12.5703125" style="780" customWidth="1"/>
    <col min="9736" max="9736" width="11.7109375" style="780" customWidth="1"/>
    <col min="9737" max="9737" width="10.42578125" style="780" customWidth="1"/>
    <col min="9738" max="9760" width="8.85546875" style="780" customWidth="1"/>
    <col min="9761" max="9984" width="9.140625" style="780"/>
    <col min="9985" max="9985" width="4.28515625" style="780" customWidth="1"/>
    <col min="9986" max="9986" width="8.7109375" style="780" customWidth="1"/>
    <col min="9987" max="9987" width="5.5703125" style="780" customWidth="1"/>
    <col min="9988" max="9988" width="11.42578125" style="780" customWidth="1"/>
    <col min="9989" max="9989" width="12" style="780" customWidth="1"/>
    <col min="9990" max="9990" width="11.7109375" style="780" customWidth="1"/>
    <col min="9991" max="9991" width="12.5703125" style="780" customWidth="1"/>
    <col min="9992" max="9992" width="11.7109375" style="780" customWidth="1"/>
    <col min="9993" max="9993" width="10.42578125" style="780" customWidth="1"/>
    <col min="9994" max="10016" width="8.85546875" style="780" customWidth="1"/>
    <col min="10017" max="10240" width="9.140625" style="780"/>
    <col min="10241" max="10241" width="4.28515625" style="780" customWidth="1"/>
    <col min="10242" max="10242" width="8.7109375" style="780" customWidth="1"/>
    <col min="10243" max="10243" width="5.5703125" style="780" customWidth="1"/>
    <col min="10244" max="10244" width="11.42578125" style="780" customWidth="1"/>
    <col min="10245" max="10245" width="12" style="780" customWidth="1"/>
    <col min="10246" max="10246" width="11.7109375" style="780" customWidth="1"/>
    <col min="10247" max="10247" width="12.5703125" style="780" customWidth="1"/>
    <col min="10248" max="10248" width="11.7109375" style="780" customWidth="1"/>
    <col min="10249" max="10249" width="10.42578125" style="780" customWidth="1"/>
    <col min="10250" max="10272" width="8.85546875" style="780" customWidth="1"/>
    <col min="10273" max="10496" width="9.140625" style="780"/>
    <col min="10497" max="10497" width="4.28515625" style="780" customWidth="1"/>
    <col min="10498" max="10498" width="8.7109375" style="780" customWidth="1"/>
    <col min="10499" max="10499" width="5.5703125" style="780" customWidth="1"/>
    <col min="10500" max="10500" width="11.42578125" style="780" customWidth="1"/>
    <col min="10501" max="10501" width="12" style="780" customWidth="1"/>
    <col min="10502" max="10502" width="11.7109375" style="780" customWidth="1"/>
    <col min="10503" max="10503" width="12.5703125" style="780" customWidth="1"/>
    <col min="10504" max="10504" width="11.7109375" style="780" customWidth="1"/>
    <col min="10505" max="10505" width="10.42578125" style="780" customWidth="1"/>
    <col min="10506" max="10528" width="8.85546875" style="780" customWidth="1"/>
    <col min="10529" max="10752" width="9.140625" style="780"/>
    <col min="10753" max="10753" width="4.28515625" style="780" customWidth="1"/>
    <col min="10754" max="10754" width="8.7109375" style="780" customWidth="1"/>
    <col min="10755" max="10755" width="5.5703125" style="780" customWidth="1"/>
    <col min="10756" max="10756" width="11.42578125" style="780" customWidth="1"/>
    <col min="10757" max="10757" width="12" style="780" customWidth="1"/>
    <col min="10758" max="10758" width="11.7109375" style="780" customWidth="1"/>
    <col min="10759" max="10759" width="12.5703125" style="780" customWidth="1"/>
    <col min="10760" max="10760" width="11.7109375" style="780" customWidth="1"/>
    <col min="10761" max="10761" width="10.42578125" style="780" customWidth="1"/>
    <col min="10762" max="10784" width="8.85546875" style="780" customWidth="1"/>
    <col min="10785" max="11008" width="9.140625" style="780"/>
    <col min="11009" max="11009" width="4.28515625" style="780" customWidth="1"/>
    <col min="11010" max="11010" width="8.7109375" style="780" customWidth="1"/>
    <col min="11011" max="11011" width="5.5703125" style="780" customWidth="1"/>
    <col min="11012" max="11012" width="11.42578125" style="780" customWidth="1"/>
    <col min="11013" max="11013" width="12" style="780" customWidth="1"/>
    <col min="11014" max="11014" width="11.7109375" style="780" customWidth="1"/>
    <col min="11015" max="11015" width="12.5703125" style="780" customWidth="1"/>
    <col min="11016" max="11016" width="11.7109375" style="780" customWidth="1"/>
    <col min="11017" max="11017" width="10.42578125" style="780" customWidth="1"/>
    <col min="11018" max="11040" width="8.85546875" style="780" customWidth="1"/>
    <col min="11041" max="11264" width="9.140625" style="780"/>
    <col min="11265" max="11265" width="4.28515625" style="780" customWidth="1"/>
    <col min="11266" max="11266" width="8.7109375" style="780" customWidth="1"/>
    <col min="11267" max="11267" width="5.5703125" style="780" customWidth="1"/>
    <col min="11268" max="11268" width="11.42578125" style="780" customWidth="1"/>
    <col min="11269" max="11269" width="12" style="780" customWidth="1"/>
    <col min="11270" max="11270" width="11.7109375" style="780" customWidth="1"/>
    <col min="11271" max="11271" width="12.5703125" style="780" customWidth="1"/>
    <col min="11272" max="11272" width="11.7109375" style="780" customWidth="1"/>
    <col min="11273" max="11273" width="10.42578125" style="780" customWidth="1"/>
    <col min="11274" max="11296" width="8.85546875" style="780" customWidth="1"/>
    <col min="11297" max="11520" width="9.140625" style="780"/>
    <col min="11521" max="11521" width="4.28515625" style="780" customWidth="1"/>
    <col min="11522" max="11522" width="8.7109375" style="780" customWidth="1"/>
    <col min="11523" max="11523" width="5.5703125" style="780" customWidth="1"/>
    <col min="11524" max="11524" width="11.42578125" style="780" customWidth="1"/>
    <col min="11525" max="11525" width="12" style="780" customWidth="1"/>
    <col min="11526" max="11526" width="11.7109375" style="780" customWidth="1"/>
    <col min="11527" max="11527" width="12.5703125" style="780" customWidth="1"/>
    <col min="11528" max="11528" width="11.7109375" style="780" customWidth="1"/>
    <col min="11529" max="11529" width="10.42578125" style="780" customWidth="1"/>
    <col min="11530" max="11552" width="8.85546875" style="780" customWidth="1"/>
    <col min="11553" max="11776" width="9.140625" style="780"/>
    <col min="11777" max="11777" width="4.28515625" style="780" customWidth="1"/>
    <col min="11778" max="11778" width="8.7109375" style="780" customWidth="1"/>
    <col min="11779" max="11779" width="5.5703125" style="780" customWidth="1"/>
    <col min="11780" max="11780" width="11.42578125" style="780" customWidth="1"/>
    <col min="11781" max="11781" width="12" style="780" customWidth="1"/>
    <col min="11782" max="11782" width="11.7109375" style="780" customWidth="1"/>
    <col min="11783" max="11783" width="12.5703125" style="780" customWidth="1"/>
    <col min="11784" max="11784" width="11.7109375" style="780" customWidth="1"/>
    <col min="11785" max="11785" width="10.42578125" style="780" customWidth="1"/>
    <col min="11786" max="11808" width="8.85546875" style="780" customWidth="1"/>
    <col min="11809" max="12032" width="9.140625" style="780"/>
    <col min="12033" max="12033" width="4.28515625" style="780" customWidth="1"/>
    <col min="12034" max="12034" width="8.7109375" style="780" customWidth="1"/>
    <col min="12035" max="12035" width="5.5703125" style="780" customWidth="1"/>
    <col min="12036" max="12036" width="11.42578125" style="780" customWidth="1"/>
    <col min="12037" max="12037" width="12" style="780" customWidth="1"/>
    <col min="12038" max="12038" width="11.7109375" style="780" customWidth="1"/>
    <col min="12039" max="12039" width="12.5703125" style="780" customWidth="1"/>
    <col min="12040" max="12040" width="11.7109375" style="780" customWidth="1"/>
    <col min="12041" max="12041" width="10.42578125" style="780" customWidth="1"/>
    <col min="12042" max="12064" width="8.85546875" style="780" customWidth="1"/>
    <col min="12065" max="12288" width="9.140625" style="780"/>
    <col min="12289" max="12289" width="4.28515625" style="780" customWidth="1"/>
    <col min="12290" max="12290" width="8.7109375" style="780" customWidth="1"/>
    <col min="12291" max="12291" width="5.5703125" style="780" customWidth="1"/>
    <col min="12292" max="12292" width="11.42578125" style="780" customWidth="1"/>
    <col min="12293" max="12293" width="12" style="780" customWidth="1"/>
    <col min="12294" max="12294" width="11.7109375" style="780" customWidth="1"/>
    <col min="12295" max="12295" width="12.5703125" style="780" customWidth="1"/>
    <col min="12296" max="12296" width="11.7109375" style="780" customWidth="1"/>
    <col min="12297" max="12297" width="10.42578125" style="780" customWidth="1"/>
    <col min="12298" max="12320" width="8.85546875" style="780" customWidth="1"/>
    <col min="12321" max="12544" width="9.140625" style="780"/>
    <col min="12545" max="12545" width="4.28515625" style="780" customWidth="1"/>
    <col min="12546" max="12546" width="8.7109375" style="780" customWidth="1"/>
    <col min="12547" max="12547" width="5.5703125" style="780" customWidth="1"/>
    <col min="12548" max="12548" width="11.42578125" style="780" customWidth="1"/>
    <col min="12549" max="12549" width="12" style="780" customWidth="1"/>
    <col min="12550" max="12550" width="11.7109375" style="780" customWidth="1"/>
    <col min="12551" max="12551" width="12.5703125" style="780" customWidth="1"/>
    <col min="12552" max="12552" width="11.7109375" style="780" customWidth="1"/>
    <col min="12553" max="12553" width="10.42578125" style="780" customWidth="1"/>
    <col min="12554" max="12576" width="8.85546875" style="780" customWidth="1"/>
    <col min="12577" max="12800" width="9.140625" style="780"/>
    <col min="12801" max="12801" width="4.28515625" style="780" customWidth="1"/>
    <col min="12802" max="12802" width="8.7109375" style="780" customWidth="1"/>
    <col min="12803" max="12803" width="5.5703125" style="780" customWidth="1"/>
    <col min="12804" max="12804" width="11.42578125" style="780" customWidth="1"/>
    <col min="12805" max="12805" width="12" style="780" customWidth="1"/>
    <col min="12806" max="12806" width="11.7109375" style="780" customWidth="1"/>
    <col min="12807" max="12807" width="12.5703125" style="780" customWidth="1"/>
    <col min="12808" max="12808" width="11.7109375" style="780" customWidth="1"/>
    <col min="12809" max="12809" width="10.42578125" style="780" customWidth="1"/>
    <col min="12810" max="12832" width="8.85546875" style="780" customWidth="1"/>
    <col min="12833" max="13056" width="9.140625" style="780"/>
    <col min="13057" max="13057" width="4.28515625" style="780" customWidth="1"/>
    <col min="13058" max="13058" width="8.7109375" style="780" customWidth="1"/>
    <col min="13059" max="13059" width="5.5703125" style="780" customWidth="1"/>
    <col min="13060" max="13060" width="11.42578125" style="780" customWidth="1"/>
    <col min="13061" max="13061" width="12" style="780" customWidth="1"/>
    <col min="13062" max="13062" width="11.7109375" style="780" customWidth="1"/>
    <col min="13063" max="13063" width="12.5703125" style="780" customWidth="1"/>
    <col min="13064" max="13064" width="11.7109375" style="780" customWidth="1"/>
    <col min="13065" max="13065" width="10.42578125" style="780" customWidth="1"/>
    <col min="13066" max="13088" width="8.85546875" style="780" customWidth="1"/>
    <col min="13089" max="13312" width="9.140625" style="780"/>
    <col min="13313" max="13313" width="4.28515625" style="780" customWidth="1"/>
    <col min="13314" max="13314" width="8.7109375" style="780" customWidth="1"/>
    <col min="13315" max="13315" width="5.5703125" style="780" customWidth="1"/>
    <col min="13316" max="13316" width="11.42578125" style="780" customWidth="1"/>
    <col min="13317" max="13317" width="12" style="780" customWidth="1"/>
    <col min="13318" max="13318" width="11.7109375" style="780" customWidth="1"/>
    <col min="13319" max="13319" width="12.5703125" style="780" customWidth="1"/>
    <col min="13320" max="13320" width="11.7109375" style="780" customWidth="1"/>
    <col min="13321" max="13321" width="10.42578125" style="780" customWidth="1"/>
    <col min="13322" max="13344" width="8.85546875" style="780" customWidth="1"/>
    <col min="13345" max="13568" width="9.140625" style="780"/>
    <col min="13569" max="13569" width="4.28515625" style="780" customWidth="1"/>
    <col min="13570" max="13570" width="8.7109375" style="780" customWidth="1"/>
    <col min="13571" max="13571" width="5.5703125" style="780" customWidth="1"/>
    <col min="13572" max="13572" width="11.42578125" style="780" customWidth="1"/>
    <col min="13573" max="13573" width="12" style="780" customWidth="1"/>
    <col min="13574" max="13574" width="11.7109375" style="780" customWidth="1"/>
    <col min="13575" max="13575" width="12.5703125" style="780" customWidth="1"/>
    <col min="13576" max="13576" width="11.7109375" style="780" customWidth="1"/>
    <col min="13577" max="13577" width="10.42578125" style="780" customWidth="1"/>
    <col min="13578" max="13600" width="8.85546875" style="780" customWidth="1"/>
    <col min="13601" max="13824" width="9.140625" style="780"/>
    <col min="13825" max="13825" width="4.28515625" style="780" customWidth="1"/>
    <col min="13826" max="13826" width="8.7109375" style="780" customWidth="1"/>
    <col min="13827" max="13827" width="5.5703125" style="780" customWidth="1"/>
    <col min="13828" max="13828" width="11.42578125" style="780" customWidth="1"/>
    <col min="13829" max="13829" width="12" style="780" customWidth="1"/>
    <col min="13830" max="13830" width="11.7109375" style="780" customWidth="1"/>
    <col min="13831" max="13831" width="12.5703125" style="780" customWidth="1"/>
    <col min="13832" max="13832" width="11.7109375" style="780" customWidth="1"/>
    <col min="13833" max="13833" width="10.42578125" style="780" customWidth="1"/>
    <col min="13834" max="13856" width="8.85546875" style="780" customWidth="1"/>
    <col min="13857" max="14080" width="9.140625" style="780"/>
    <col min="14081" max="14081" width="4.28515625" style="780" customWidth="1"/>
    <col min="14082" max="14082" width="8.7109375" style="780" customWidth="1"/>
    <col min="14083" max="14083" width="5.5703125" style="780" customWidth="1"/>
    <col min="14084" max="14084" width="11.42578125" style="780" customWidth="1"/>
    <col min="14085" max="14085" width="12" style="780" customWidth="1"/>
    <col min="14086" max="14086" width="11.7109375" style="780" customWidth="1"/>
    <col min="14087" max="14087" width="12.5703125" style="780" customWidth="1"/>
    <col min="14088" max="14088" width="11.7109375" style="780" customWidth="1"/>
    <col min="14089" max="14089" width="10.42578125" style="780" customWidth="1"/>
    <col min="14090" max="14112" width="8.85546875" style="780" customWidth="1"/>
    <col min="14113" max="14336" width="9.140625" style="780"/>
    <col min="14337" max="14337" width="4.28515625" style="780" customWidth="1"/>
    <col min="14338" max="14338" width="8.7109375" style="780" customWidth="1"/>
    <col min="14339" max="14339" width="5.5703125" style="780" customWidth="1"/>
    <col min="14340" max="14340" width="11.42578125" style="780" customWidth="1"/>
    <col min="14341" max="14341" width="12" style="780" customWidth="1"/>
    <col min="14342" max="14342" width="11.7109375" style="780" customWidth="1"/>
    <col min="14343" max="14343" width="12.5703125" style="780" customWidth="1"/>
    <col min="14344" max="14344" width="11.7109375" style="780" customWidth="1"/>
    <col min="14345" max="14345" width="10.42578125" style="780" customWidth="1"/>
    <col min="14346" max="14368" width="8.85546875" style="780" customWidth="1"/>
    <col min="14369" max="14592" width="9.140625" style="780"/>
    <col min="14593" max="14593" width="4.28515625" style="780" customWidth="1"/>
    <col min="14594" max="14594" width="8.7109375" style="780" customWidth="1"/>
    <col min="14595" max="14595" width="5.5703125" style="780" customWidth="1"/>
    <col min="14596" max="14596" width="11.42578125" style="780" customWidth="1"/>
    <col min="14597" max="14597" width="12" style="780" customWidth="1"/>
    <col min="14598" max="14598" width="11.7109375" style="780" customWidth="1"/>
    <col min="14599" max="14599" width="12.5703125" style="780" customWidth="1"/>
    <col min="14600" max="14600" width="11.7109375" style="780" customWidth="1"/>
    <col min="14601" max="14601" width="10.42578125" style="780" customWidth="1"/>
    <col min="14602" max="14624" width="8.85546875" style="780" customWidth="1"/>
    <col min="14625" max="14848" width="9.140625" style="780"/>
    <col min="14849" max="14849" width="4.28515625" style="780" customWidth="1"/>
    <col min="14850" max="14850" width="8.7109375" style="780" customWidth="1"/>
    <col min="14851" max="14851" width="5.5703125" style="780" customWidth="1"/>
    <col min="14852" max="14852" width="11.42578125" style="780" customWidth="1"/>
    <col min="14853" max="14853" width="12" style="780" customWidth="1"/>
    <col min="14854" max="14854" width="11.7109375" style="780" customWidth="1"/>
    <col min="14855" max="14855" width="12.5703125" style="780" customWidth="1"/>
    <col min="14856" max="14856" width="11.7109375" style="780" customWidth="1"/>
    <col min="14857" max="14857" width="10.42578125" style="780" customWidth="1"/>
    <col min="14858" max="14880" width="8.85546875" style="780" customWidth="1"/>
    <col min="14881" max="15104" width="9.140625" style="780"/>
    <col min="15105" max="15105" width="4.28515625" style="780" customWidth="1"/>
    <col min="15106" max="15106" width="8.7109375" style="780" customWidth="1"/>
    <col min="15107" max="15107" width="5.5703125" style="780" customWidth="1"/>
    <col min="15108" max="15108" width="11.42578125" style="780" customWidth="1"/>
    <col min="15109" max="15109" width="12" style="780" customWidth="1"/>
    <col min="15110" max="15110" width="11.7109375" style="780" customWidth="1"/>
    <col min="15111" max="15111" width="12.5703125" style="780" customWidth="1"/>
    <col min="15112" max="15112" width="11.7109375" style="780" customWidth="1"/>
    <col min="15113" max="15113" width="10.42578125" style="780" customWidth="1"/>
    <col min="15114" max="15136" width="8.85546875" style="780" customWidth="1"/>
    <col min="15137" max="15360" width="9.140625" style="780"/>
    <col min="15361" max="15361" width="4.28515625" style="780" customWidth="1"/>
    <col min="15362" max="15362" width="8.7109375" style="780" customWidth="1"/>
    <col min="15363" max="15363" width="5.5703125" style="780" customWidth="1"/>
    <col min="15364" max="15364" width="11.42578125" style="780" customWidth="1"/>
    <col min="15365" max="15365" width="12" style="780" customWidth="1"/>
    <col min="15366" max="15366" width="11.7109375" style="780" customWidth="1"/>
    <col min="15367" max="15367" width="12.5703125" style="780" customWidth="1"/>
    <col min="15368" max="15368" width="11.7109375" style="780" customWidth="1"/>
    <col min="15369" max="15369" width="10.42578125" style="780" customWidth="1"/>
    <col min="15370" max="15392" width="8.85546875" style="780" customWidth="1"/>
    <col min="15393" max="15616" width="9.140625" style="780"/>
    <col min="15617" max="15617" width="4.28515625" style="780" customWidth="1"/>
    <col min="15618" max="15618" width="8.7109375" style="780" customWidth="1"/>
    <col min="15619" max="15619" width="5.5703125" style="780" customWidth="1"/>
    <col min="15620" max="15620" width="11.42578125" style="780" customWidth="1"/>
    <col min="15621" max="15621" width="12" style="780" customWidth="1"/>
    <col min="15622" max="15622" width="11.7109375" style="780" customWidth="1"/>
    <col min="15623" max="15623" width="12.5703125" style="780" customWidth="1"/>
    <col min="15624" max="15624" width="11.7109375" style="780" customWidth="1"/>
    <col min="15625" max="15625" width="10.42578125" style="780" customWidth="1"/>
    <col min="15626" max="15648" width="8.85546875" style="780" customWidth="1"/>
    <col min="15649" max="15872" width="9.140625" style="780"/>
    <col min="15873" max="15873" width="4.28515625" style="780" customWidth="1"/>
    <col min="15874" max="15874" width="8.7109375" style="780" customWidth="1"/>
    <col min="15875" max="15875" width="5.5703125" style="780" customWidth="1"/>
    <col min="15876" max="15876" width="11.42578125" style="780" customWidth="1"/>
    <col min="15877" max="15877" width="12" style="780" customWidth="1"/>
    <col min="15878" max="15878" width="11.7109375" style="780" customWidth="1"/>
    <col min="15879" max="15879" width="12.5703125" style="780" customWidth="1"/>
    <col min="15880" max="15880" width="11.7109375" style="780" customWidth="1"/>
    <col min="15881" max="15881" width="10.42578125" style="780" customWidth="1"/>
    <col min="15882" max="15904" width="8.85546875" style="780" customWidth="1"/>
    <col min="15905" max="16128" width="9.140625" style="780"/>
    <col min="16129" max="16129" width="4.28515625" style="780" customWidth="1"/>
    <col min="16130" max="16130" width="8.7109375" style="780" customWidth="1"/>
    <col min="16131" max="16131" width="5.5703125" style="780" customWidth="1"/>
    <col min="16132" max="16132" width="11.42578125" style="780" customWidth="1"/>
    <col min="16133" max="16133" width="12" style="780" customWidth="1"/>
    <col min="16134" max="16134" width="11.7109375" style="780" customWidth="1"/>
    <col min="16135" max="16135" width="12.5703125" style="780" customWidth="1"/>
    <col min="16136" max="16136" width="11.7109375" style="780" customWidth="1"/>
    <col min="16137" max="16137" width="10.42578125" style="780" customWidth="1"/>
    <col min="16138" max="16160" width="8.85546875" style="780" customWidth="1"/>
    <col min="16161" max="16384" width="9.140625" style="780"/>
  </cols>
  <sheetData>
    <row r="1" spans="1:32" x14ac:dyDescent="0.2">
      <c r="G1" s="781"/>
      <c r="H1" s="782" t="s">
        <v>1130</v>
      </c>
    </row>
    <row r="2" spans="1:32" x14ac:dyDescent="0.2">
      <c r="G2" s="781"/>
      <c r="H2" s="782" t="s">
        <v>80</v>
      </c>
    </row>
    <row r="3" spans="1:32" x14ac:dyDescent="0.2">
      <c r="G3" s="781"/>
      <c r="H3" s="782" t="s">
        <v>81</v>
      </c>
    </row>
    <row r="4" spans="1:32" x14ac:dyDescent="0.2">
      <c r="G4" s="781"/>
      <c r="H4" s="782" t="s">
        <v>82</v>
      </c>
    </row>
    <row r="5" spans="1:32" x14ac:dyDescent="0.2">
      <c r="H5" s="781"/>
    </row>
    <row r="7" spans="1:32" ht="35.25" customHeight="1" x14ac:dyDescent="0.2">
      <c r="A7" s="784" t="s">
        <v>1131</v>
      </c>
      <c r="B7" s="784"/>
      <c r="C7" s="784"/>
      <c r="D7" s="784"/>
      <c r="E7" s="784"/>
      <c r="F7" s="784"/>
      <c r="G7" s="784"/>
      <c r="H7" s="784"/>
      <c r="I7" s="784"/>
    </row>
    <row r="8" spans="1:32" ht="18" customHeight="1" x14ac:dyDescent="0.2">
      <c r="A8" s="785"/>
      <c r="B8" s="785"/>
      <c r="C8" s="785"/>
      <c r="D8" s="785"/>
      <c r="E8" s="785"/>
      <c r="F8" s="785"/>
      <c r="G8" s="785"/>
      <c r="H8" s="785"/>
      <c r="I8" s="785"/>
    </row>
    <row r="9" spans="1:32" ht="13.5" customHeight="1" x14ac:dyDescent="0.2">
      <c r="I9" s="786" t="s">
        <v>2</v>
      </c>
    </row>
    <row r="10" spans="1:32" ht="13.5" customHeight="1" x14ac:dyDescent="0.2">
      <c r="A10" s="787"/>
      <c r="B10" s="787"/>
      <c r="C10" s="787"/>
      <c r="D10" s="788"/>
      <c r="E10" s="788"/>
      <c r="F10" s="789" t="s">
        <v>538</v>
      </c>
      <c r="G10" s="790"/>
      <c r="H10" s="790"/>
      <c r="I10" s="791"/>
    </row>
    <row r="11" spans="1:32" ht="33.75" customHeight="1" x14ac:dyDescent="0.2">
      <c r="A11" s="792" t="s">
        <v>696</v>
      </c>
      <c r="B11" s="792" t="s">
        <v>1132</v>
      </c>
      <c r="C11" s="792" t="s">
        <v>91</v>
      </c>
      <c r="D11" s="793" t="s">
        <v>1133</v>
      </c>
      <c r="E11" s="793" t="s">
        <v>1134</v>
      </c>
      <c r="F11" s="788"/>
      <c r="G11" s="789" t="s">
        <v>540</v>
      </c>
      <c r="H11" s="791"/>
      <c r="I11" s="788"/>
    </row>
    <row r="12" spans="1:32" ht="39.75" customHeight="1" x14ac:dyDescent="0.2">
      <c r="A12" s="794"/>
      <c r="B12" s="794"/>
      <c r="C12" s="794"/>
      <c r="D12" s="794"/>
      <c r="E12" s="795"/>
      <c r="F12" s="796" t="s">
        <v>1135</v>
      </c>
      <c r="G12" s="797" t="s">
        <v>1136</v>
      </c>
      <c r="H12" s="797" t="s">
        <v>1137</v>
      </c>
      <c r="I12" s="796" t="s">
        <v>1138</v>
      </c>
    </row>
    <row r="13" spans="1:32" s="800" customFormat="1" ht="10.5" customHeight="1" x14ac:dyDescent="0.2">
      <c r="A13" s="798">
        <v>1</v>
      </c>
      <c r="B13" s="798">
        <v>2</v>
      </c>
      <c r="C13" s="798">
        <v>3</v>
      </c>
      <c r="D13" s="798">
        <v>4</v>
      </c>
      <c r="E13" s="798">
        <v>5</v>
      </c>
      <c r="F13" s="798">
        <v>6</v>
      </c>
      <c r="G13" s="798">
        <v>7</v>
      </c>
      <c r="H13" s="798">
        <v>8</v>
      </c>
      <c r="I13" s="798">
        <v>9</v>
      </c>
      <c r="J13" s="799"/>
      <c r="K13" s="799"/>
      <c r="L13" s="799"/>
      <c r="M13" s="799"/>
      <c r="N13" s="799"/>
      <c r="O13" s="799"/>
      <c r="P13" s="799"/>
      <c r="Q13" s="799"/>
      <c r="R13" s="799"/>
      <c r="S13" s="799"/>
      <c r="T13" s="799"/>
      <c r="U13" s="799"/>
      <c r="V13" s="799"/>
      <c r="W13" s="799"/>
      <c r="X13" s="799"/>
      <c r="Y13" s="799"/>
      <c r="Z13" s="799"/>
      <c r="AA13" s="799"/>
      <c r="AB13" s="799"/>
      <c r="AC13" s="799"/>
      <c r="AD13" s="799"/>
      <c r="AE13" s="799"/>
      <c r="AF13" s="799"/>
    </row>
    <row r="14" spans="1:32" ht="20.25" customHeight="1" x14ac:dyDescent="0.2">
      <c r="A14" s="801">
        <v>710</v>
      </c>
      <c r="B14" s="801">
        <v>71035</v>
      </c>
      <c r="C14" s="801">
        <v>2020</v>
      </c>
      <c r="D14" s="802">
        <v>40000</v>
      </c>
      <c r="E14" s="802">
        <f>SUM(F14,I14)</f>
        <v>40000</v>
      </c>
      <c r="F14" s="802">
        <v>40000</v>
      </c>
      <c r="G14" s="802">
        <v>0</v>
      </c>
      <c r="H14" s="802">
        <v>0</v>
      </c>
      <c r="I14" s="802">
        <v>0</v>
      </c>
    </row>
    <row r="15" spans="1:32" ht="20.25" customHeight="1" x14ac:dyDescent="0.2">
      <c r="A15" s="801">
        <v>752</v>
      </c>
      <c r="B15" s="801">
        <v>75224</v>
      </c>
      <c r="C15" s="803">
        <v>2120</v>
      </c>
      <c r="D15" s="804">
        <v>80000</v>
      </c>
      <c r="E15" s="802">
        <f>SUM(F15,I15)</f>
        <v>80000</v>
      </c>
      <c r="F15" s="802">
        <v>80000</v>
      </c>
      <c r="G15" s="802">
        <v>65000</v>
      </c>
      <c r="H15" s="802">
        <v>0</v>
      </c>
      <c r="I15" s="802">
        <v>0</v>
      </c>
    </row>
    <row r="16" spans="1:32" ht="20.25" customHeight="1" x14ac:dyDescent="0.2">
      <c r="A16" s="801">
        <v>801</v>
      </c>
      <c r="B16" s="801">
        <v>80146</v>
      </c>
      <c r="C16" s="803">
        <v>2120</v>
      </c>
      <c r="D16" s="804">
        <v>700000</v>
      </c>
      <c r="E16" s="802">
        <f>SUM(F16,I16)</f>
        <v>700000</v>
      </c>
      <c r="F16" s="802">
        <v>700000</v>
      </c>
      <c r="G16" s="802">
        <v>667717</v>
      </c>
      <c r="H16" s="802">
        <v>0</v>
      </c>
      <c r="I16" s="802">
        <v>0</v>
      </c>
    </row>
    <row r="17" spans="1:9" ht="20.25" customHeight="1" x14ac:dyDescent="0.2">
      <c r="A17" s="801">
        <v>801</v>
      </c>
      <c r="B17" s="801">
        <v>80195</v>
      </c>
      <c r="C17" s="803">
        <v>2120</v>
      </c>
      <c r="D17" s="804">
        <v>387860</v>
      </c>
      <c r="E17" s="802">
        <f>SUM(F17,I17)</f>
        <v>387860</v>
      </c>
      <c r="F17" s="802">
        <v>387860</v>
      </c>
      <c r="G17" s="802">
        <v>352600</v>
      </c>
      <c r="H17" s="802">
        <v>0</v>
      </c>
      <c r="I17" s="802">
        <v>0</v>
      </c>
    </row>
    <row r="18" spans="1:9" ht="23.25" customHeight="1" x14ac:dyDescent="0.2">
      <c r="A18" s="1313" t="s">
        <v>1139</v>
      </c>
      <c r="B18" s="1314"/>
      <c r="C18" s="1315"/>
      <c r="D18" s="1316">
        <f t="shared" ref="D18:I18" si="0">SUM(D14:D17)</f>
        <v>1207860</v>
      </c>
      <c r="E18" s="1316">
        <f t="shared" si="0"/>
        <v>1207860</v>
      </c>
      <c r="F18" s="1316">
        <f t="shared" si="0"/>
        <v>1207860</v>
      </c>
      <c r="G18" s="1316">
        <f t="shared" si="0"/>
        <v>1085317</v>
      </c>
      <c r="H18" s="1316">
        <f t="shared" si="0"/>
        <v>0</v>
      </c>
      <c r="I18" s="1316">
        <f t="shared" si="0"/>
        <v>0</v>
      </c>
    </row>
  </sheetData>
  <mergeCells count="1">
    <mergeCell ref="A18:C18"/>
  </mergeCells>
  <pageMargins left="0.70866141732283472" right="0.70866141732283472" top="0.74803149606299213" bottom="0.74803149606299213" header="0.31496062992125984" footer="0.31496062992125984"/>
  <pageSetup paperSize="9" scale="95" firstPageNumber="62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D210F8-C598-4F75-B690-71ABC68C8DF3}">
  <dimension ref="A1:CA22"/>
  <sheetViews>
    <sheetView zoomScale="130" zoomScaleNormal="130" workbookViewId="0">
      <selection activeCell="A12" sqref="A12:J20"/>
    </sheetView>
  </sheetViews>
  <sheetFormatPr defaultRowHeight="12.75" x14ac:dyDescent="0.2"/>
  <cols>
    <col min="1" max="1" width="4.85546875" style="806" customWidth="1"/>
    <col min="2" max="2" width="6.7109375" style="806" customWidth="1"/>
    <col min="3" max="3" width="6.140625" style="806" customWidth="1"/>
    <col min="4" max="4" width="10" style="806" customWidth="1"/>
    <col min="5" max="5" width="11.28515625" style="806" customWidth="1"/>
    <col min="6" max="6" width="11.5703125" style="806" customWidth="1"/>
    <col min="7" max="7" width="13.85546875" style="806" customWidth="1"/>
    <col min="8" max="9" width="11.28515625" style="808" customWidth="1"/>
    <col min="10" max="10" width="10.140625" style="808" customWidth="1"/>
    <col min="11" max="79" width="8.85546875" style="808" customWidth="1"/>
    <col min="80" max="256" width="9.140625" style="806"/>
    <col min="257" max="257" width="4.85546875" style="806" customWidth="1"/>
    <col min="258" max="258" width="6.7109375" style="806" customWidth="1"/>
    <col min="259" max="259" width="6.140625" style="806" customWidth="1"/>
    <col min="260" max="260" width="10" style="806" customWidth="1"/>
    <col min="261" max="261" width="11.28515625" style="806" customWidth="1"/>
    <col min="262" max="262" width="11.5703125" style="806" customWidth="1"/>
    <col min="263" max="263" width="13.85546875" style="806" customWidth="1"/>
    <col min="264" max="265" width="11.28515625" style="806" customWidth="1"/>
    <col min="266" max="266" width="10.140625" style="806" customWidth="1"/>
    <col min="267" max="335" width="8.85546875" style="806" customWidth="1"/>
    <col min="336" max="512" width="9.140625" style="806"/>
    <col min="513" max="513" width="4.85546875" style="806" customWidth="1"/>
    <col min="514" max="514" width="6.7109375" style="806" customWidth="1"/>
    <col min="515" max="515" width="6.140625" style="806" customWidth="1"/>
    <col min="516" max="516" width="10" style="806" customWidth="1"/>
    <col min="517" max="517" width="11.28515625" style="806" customWidth="1"/>
    <col min="518" max="518" width="11.5703125" style="806" customWidth="1"/>
    <col min="519" max="519" width="13.85546875" style="806" customWidth="1"/>
    <col min="520" max="521" width="11.28515625" style="806" customWidth="1"/>
    <col min="522" max="522" width="10.140625" style="806" customWidth="1"/>
    <col min="523" max="591" width="8.85546875" style="806" customWidth="1"/>
    <col min="592" max="768" width="9.140625" style="806"/>
    <col min="769" max="769" width="4.85546875" style="806" customWidth="1"/>
    <col min="770" max="770" width="6.7109375" style="806" customWidth="1"/>
    <col min="771" max="771" width="6.140625" style="806" customWidth="1"/>
    <col min="772" max="772" width="10" style="806" customWidth="1"/>
    <col min="773" max="773" width="11.28515625" style="806" customWidth="1"/>
    <col min="774" max="774" width="11.5703125" style="806" customWidth="1"/>
    <col min="775" max="775" width="13.85546875" style="806" customWidth="1"/>
    <col min="776" max="777" width="11.28515625" style="806" customWidth="1"/>
    <col min="778" max="778" width="10.140625" style="806" customWidth="1"/>
    <col min="779" max="847" width="8.85546875" style="806" customWidth="1"/>
    <col min="848" max="1024" width="9.140625" style="806"/>
    <col min="1025" max="1025" width="4.85546875" style="806" customWidth="1"/>
    <col min="1026" max="1026" width="6.7109375" style="806" customWidth="1"/>
    <col min="1027" max="1027" width="6.140625" style="806" customWidth="1"/>
    <col min="1028" max="1028" width="10" style="806" customWidth="1"/>
    <col min="1029" max="1029" width="11.28515625" style="806" customWidth="1"/>
    <col min="1030" max="1030" width="11.5703125" style="806" customWidth="1"/>
    <col min="1031" max="1031" width="13.85546875" style="806" customWidth="1"/>
    <col min="1032" max="1033" width="11.28515625" style="806" customWidth="1"/>
    <col min="1034" max="1034" width="10.140625" style="806" customWidth="1"/>
    <col min="1035" max="1103" width="8.85546875" style="806" customWidth="1"/>
    <col min="1104" max="1280" width="9.140625" style="806"/>
    <col min="1281" max="1281" width="4.85546875" style="806" customWidth="1"/>
    <col min="1282" max="1282" width="6.7109375" style="806" customWidth="1"/>
    <col min="1283" max="1283" width="6.140625" style="806" customWidth="1"/>
    <col min="1284" max="1284" width="10" style="806" customWidth="1"/>
    <col min="1285" max="1285" width="11.28515625" style="806" customWidth="1"/>
    <col min="1286" max="1286" width="11.5703125" style="806" customWidth="1"/>
    <col min="1287" max="1287" width="13.85546875" style="806" customWidth="1"/>
    <col min="1288" max="1289" width="11.28515625" style="806" customWidth="1"/>
    <col min="1290" max="1290" width="10.140625" style="806" customWidth="1"/>
    <col min="1291" max="1359" width="8.85546875" style="806" customWidth="1"/>
    <col min="1360" max="1536" width="9.140625" style="806"/>
    <col min="1537" max="1537" width="4.85546875" style="806" customWidth="1"/>
    <col min="1538" max="1538" width="6.7109375" style="806" customWidth="1"/>
    <col min="1539" max="1539" width="6.140625" style="806" customWidth="1"/>
    <col min="1540" max="1540" width="10" style="806" customWidth="1"/>
    <col min="1541" max="1541" width="11.28515625" style="806" customWidth="1"/>
    <col min="1542" max="1542" width="11.5703125" style="806" customWidth="1"/>
    <col min="1543" max="1543" width="13.85546875" style="806" customWidth="1"/>
    <col min="1544" max="1545" width="11.28515625" style="806" customWidth="1"/>
    <col min="1546" max="1546" width="10.140625" style="806" customWidth="1"/>
    <col min="1547" max="1615" width="8.85546875" style="806" customWidth="1"/>
    <col min="1616" max="1792" width="9.140625" style="806"/>
    <col min="1793" max="1793" width="4.85546875" style="806" customWidth="1"/>
    <col min="1794" max="1794" width="6.7109375" style="806" customWidth="1"/>
    <col min="1795" max="1795" width="6.140625" style="806" customWidth="1"/>
    <col min="1796" max="1796" width="10" style="806" customWidth="1"/>
    <col min="1797" max="1797" width="11.28515625" style="806" customWidth="1"/>
    <col min="1798" max="1798" width="11.5703125" style="806" customWidth="1"/>
    <col min="1799" max="1799" width="13.85546875" style="806" customWidth="1"/>
    <col min="1800" max="1801" width="11.28515625" style="806" customWidth="1"/>
    <col min="1802" max="1802" width="10.140625" style="806" customWidth="1"/>
    <col min="1803" max="1871" width="8.85546875" style="806" customWidth="1"/>
    <col min="1872" max="2048" width="9.140625" style="806"/>
    <col min="2049" max="2049" width="4.85546875" style="806" customWidth="1"/>
    <col min="2050" max="2050" width="6.7109375" style="806" customWidth="1"/>
    <col min="2051" max="2051" width="6.140625" style="806" customWidth="1"/>
    <col min="2052" max="2052" width="10" style="806" customWidth="1"/>
    <col min="2053" max="2053" width="11.28515625" style="806" customWidth="1"/>
    <col min="2054" max="2054" width="11.5703125" style="806" customWidth="1"/>
    <col min="2055" max="2055" width="13.85546875" style="806" customWidth="1"/>
    <col min="2056" max="2057" width="11.28515625" style="806" customWidth="1"/>
    <col min="2058" max="2058" width="10.140625" style="806" customWidth="1"/>
    <col min="2059" max="2127" width="8.85546875" style="806" customWidth="1"/>
    <col min="2128" max="2304" width="9.140625" style="806"/>
    <col min="2305" max="2305" width="4.85546875" style="806" customWidth="1"/>
    <col min="2306" max="2306" width="6.7109375" style="806" customWidth="1"/>
    <col min="2307" max="2307" width="6.140625" style="806" customWidth="1"/>
    <col min="2308" max="2308" width="10" style="806" customWidth="1"/>
    <col min="2309" max="2309" width="11.28515625" style="806" customWidth="1"/>
    <col min="2310" max="2310" width="11.5703125" style="806" customWidth="1"/>
    <col min="2311" max="2311" width="13.85546875" style="806" customWidth="1"/>
    <col min="2312" max="2313" width="11.28515625" style="806" customWidth="1"/>
    <col min="2314" max="2314" width="10.140625" style="806" customWidth="1"/>
    <col min="2315" max="2383" width="8.85546875" style="806" customWidth="1"/>
    <col min="2384" max="2560" width="9.140625" style="806"/>
    <col min="2561" max="2561" width="4.85546875" style="806" customWidth="1"/>
    <col min="2562" max="2562" width="6.7109375" style="806" customWidth="1"/>
    <col min="2563" max="2563" width="6.140625" style="806" customWidth="1"/>
    <col min="2564" max="2564" width="10" style="806" customWidth="1"/>
    <col min="2565" max="2565" width="11.28515625" style="806" customWidth="1"/>
    <col min="2566" max="2566" width="11.5703125" style="806" customWidth="1"/>
    <col min="2567" max="2567" width="13.85546875" style="806" customWidth="1"/>
    <col min="2568" max="2569" width="11.28515625" style="806" customWidth="1"/>
    <col min="2570" max="2570" width="10.140625" style="806" customWidth="1"/>
    <col min="2571" max="2639" width="8.85546875" style="806" customWidth="1"/>
    <col min="2640" max="2816" width="9.140625" style="806"/>
    <col min="2817" max="2817" width="4.85546875" style="806" customWidth="1"/>
    <col min="2818" max="2818" width="6.7109375" style="806" customWidth="1"/>
    <col min="2819" max="2819" width="6.140625" style="806" customWidth="1"/>
    <col min="2820" max="2820" width="10" style="806" customWidth="1"/>
    <col min="2821" max="2821" width="11.28515625" style="806" customWidth="1"/>
    <col min="2822" max="2822" width="11.5703125" style="806" customWidth="1"/>
    <col min="2823" max="2823" width="13.85546875" style="806" customWidth="1"/>
    <col min="2824" max="2825" width="11.28515625" style="806" customWidth="1"/>
    <col min="2826" max="2826" width="10.140625" style="806" customWidth="1"/>
    <col min="2827" max="2895" width="8.85546875" style="806" customWidth="1"/>
    <col min="2896" max="3072" width="9.140625" style="806"/>
    <col min="3073" max="3073" width="4.85546875" style="806" customWidth="1"/>
    <col min="3074" max="3074" width="6.7109375" style="806" customWidth="1"/>
    <col min="3075" max="3075" width="6.140625" style="806" customWidth="1"/>
    <col min="3076" max="3076" width="10" style="806" customWidth="1"/>
    <col min="3077" max="3077" width="11.28515625" style="806" customWidth="1"/>
    <col min="3078" max="3078" width="11.5703125" style="806" customWidth="1"/>
    <col min="3079" max="3079" width="13.85546875" style="806" customWidth="1"/>
    <col min="3080" max="3081" width="11.28515625" style="806" customWidth="1"/>
    <col min="3082" max="3082" width="10.140625" style="806" customWidth="1"/>
    <col min="3083" max="3151" width="8.85546875" style="806" customWidth="1"/>
    <col min="3152" max="3328" width="9.140625" style="806"/>
    <col min="3329" max="3329" width="4.85546875" style="806" customWidth="1"/>
    <col min="3330" max="3330" width="6.7109375" style="806" customWidth="1"/>
    <col min="3331" max="3331" width="6.140625" style="806" customWidth="1"/>
    <col min="3332" max="3332" width="10" style="806" customWidth="1"/>
    <col min="3333" max="3333" width="11.28515625" style="806" customWidth="1"/>
    <col min="3334" max="3334" width="11.5703125" style="806" customWidth="1"/>
    <col min="3335" max="3335" width="13.85546875" style="806" customWidth="1"/>
    <col min="3336" max="3337" width="11.28515625" style="806" customWidth="1"/>
    <col min="3338" max="3338" width="10.140625" style="806" customWidth="1"/>
    <col min="3339" max="3407" width="8.85546875" style="806" customWidth="1"/>
    <col min="3408" max="3584" width="9.140625" style="806"/>
    <col min="3585" max="3585" width="4.85546875" style="806" customWidth="1"/>
    <col min="3586" max="3586" width="6.7109375" style="806" customWidth="1"/>
    <col min="3587" max="3587" width="6.140625" style="806" customWidth="1"/>
    <col min="3588" max="3588" width="10" style="806" customWidth="1"/>
    <col min="3589" max="3589" width="11.28515625" style="806" customWidth="1"/>
    <col min="3590" max="3590" width="11.5703125" style="806" customWidth="1"/>
    <col min="3591" max="3591" width="13.85546875" style="806" customWidth="1"/>
    <col min="3592" max="3593" width="11.28515625" style="806" customWidth="1"/>
    <col min="3594" max="3594" width="10.140625" style="806" customWidth="1"/>
    <col min="3595" max="3663" width="8.85546875" style="806" customWidth="1"/>
    <col min="3664" max="3840" width="9.140625" style="806"/>
    <col min="3841" max="3841" width="4.85546875" style="806" customWidth="1"/>
    <col min="3842" max="3842" width="6.7109375" style="806" customWidth="1"/>
    <col min="3843" max="3843" width="6.140625" style="806" customWidth="1"/>
    <col min="3844" max="3844" width="10" style="806" customWidth="1"/>
    <col min="3845" max="3845" width="11.28515625" style="806" customWidth="1"/>
    <col min="3846" max="3846" width="11.5703125" style="806" customWidth="1"/>
    <col min="3847" max="3847" width="13.85546875" style="806" customWidth="1"/>
    <col min="3848" max="3849" width="11.28515625" style="806" customWidth="1"/>
    <col min="3850" max="3850" width="10.140625" style="806" customWidth="1"/>
    <col min="3851" max="3919" width="8.85546875" style="806" customWidth="1"/>
    <col min="3920" max="4096" width="9.140625" style="806"/>
    <col min="4097" max="4097" width="4.85546875" style="806" customWidth="1"/>
    <col min="4098" max="4098" width="6.7109375" style="806" customWidth="1"/>
    <col min="4099" max="4099" width="6.140625" style="806" customWidth="1"/>
    <col min="4100" max="4100" width="10" style="806" customWidth="1"/>
    <col min="4101" max="4101" width="11.28515625" style="806" customWidth="1"/>
    <col min="4102" max="4102" width="11.5703125" style="806" customWidth="1"/>
    <col min="4103" max="4103" width="13.85546875" style="806" customWidth="1"/>
    <col min="4104" max="4105" width="11.28515625" style="806" customWidth="1"/>
    <col min="4106" max="4106" width="10.140625" style="806" customWidth="1"/>
    <col min="4107" max="4175" width="8.85546875" style="806" customWidth="1"/>
    <col min="4176" max="4352" width="9.140625" style="806"/>
    <col min="4353" max="4353" width="4.85546875" style="806" customWidth="1"/>
    <col min="4354" max="4354" width="6.7109375" style="806" customWidth="1"/>
    <col min="4355" max="4355" width="6.140625" style="806" customWidth="1"/>
    <col min="4356" max="4356" width="10" style="806" customWidth="1"/>
    <col min="4357" max="4357" width="11.28515625" style="806" customWidth="1"/>
    <col min="4358" max="4358" width="11.5703125" style="806" customWidth="1"/>
    <col min="4359" max="4359" width="13.85546875" style="806" customWidth="1"/>
    <col min="4360" max="4361" width="11.28515625" style="806" customWidth="1"/>
    <col min="4362" max="4362" width="10.140625" style="806" customWidth="1"/>
    <col min="4363" max="4431" width="8.85546875" style="806" customWidth="1"/>
    <col min="4432" max="4608" width="9.140625" style="806"/>
    <col min="4609" max="4609" width="4.85546875" style="806" customWidth="1"/>
    <col min="4610" max="4610" width="6.7109375" style="806" customWidth="1"/>
    <col min="4611" max="4611" width="6.140625" style="806" customWidth="1"/>
    <col min="4612" max="4612" width="10" style="806" customWidth="1"/>
    <col min="4613" max="4613" width="11.28515625" style="806" customWidth="1"/>
    <col min="4614" max="4614" width="11.5703125" style="806" customWidth="1"/>
    <col min="4615" max="4615" width="13.85546875" style="806" customWidth="1"/>
    <col min="4616" max="4617" width="11.28515625" style="806" customWidth="1"/>
    <col min="4618" max="4618" width="10.140625" style="806" customWidth="1"/>
    <col min="4619" max="4687" width="8.85546875" style="806" customWidth="1"/>
    <col min="4688" max="4864" width="9.140625" style="806"/>
    <col min="4865" max="4865" width="4.85546875" style="806" customWidth="1"/>
    <col min="4866" max="4866" width="6.7109375" style="806" customWidth="1"/>
    <col min="4867" max="4867" width="6.140625" style="806" customWidth="1"/>
    <col min="4868" max="4868" width="10" style="806" customWidth="1"/>
    <col min="4869" max="4869" width="11.28515625" style="806" customWidth="1"/>
    <col min="4870" max="4870" width="11.5703125" style="806" customWidth="1"/>
    <col min="4871" max="4871" width="13.85546875" style="806" customWidth="1"/>
    <col min="4872" max="4873" width="11.28515625" style="806" customWidth="1"/>
    <col min="4874" max="4874" width="10.140625" style="806" customWidth="1"/>
    <col min="4875" max="4943" width="8.85546875" style="806" customWidth="1"/>
    <col min="4944" max="5120" width="9.140625" style="806"/>
    <col min="5121" max="5121" width="4.85546875" style="806" customWidth="1"/>
    <col min="5122" max="5122" width="6.7109375" style="806" customWidth="1"/>
    <col min="5123" max="5123" width="6.140625" style="806" customWidth="1"/>
    <col min="5124" max="5124" width="10" style="806" customWidth="1"/>
    <col min="5125" max="5125" width="11.28515625" style="806" customWidth="1"/>
    <col min="5126" max="5126" width="11.5703125" style="806" customWidth="1"/>
    <col min="5127" max="5127" width="13.85546875" style="806" customWidth="1"/>
    <col min="5128" max="5129" width="11.28515625" style="806" customWidth="1"/>
    <col min="5130" max="5130" width="10.140625" style="806" customWidth="1"/>
    <col min="5131" max="5199" width="8.85546875" style="806" customWidth="1"/>
    <col min="5200" max="5376" width="9.140625" style="806"/>
    <col min="5377" max="5377" width="4.85546875" style="806" customWidth="1"/>
    <col min="5378" max="5378" width="6.7109375" style="806" customWidth="1"/>
    <col min="5379" max="5379" width="6.140625" style="806" customWidth="1"/>
    <col min="5380" max="5380" width="10" style="806" customWidth="1"/>
    <col min="5381" max="5381" width="11.28515625" style="806" customWidth="1"/>
    <col min="5382" max="5382" width="11.5703125" style="806" customWidth="1"/>
    <col min="5383" max="5383" width="13.85546875" style="806" customWidth="1"/>
    <col min="5384" max="5385" width="11.28515625" style="806" customWidth="1"/>
    <col min="5386" max="5386" width="10.140625" style="806" customWidth="1"/>
    <col min="5387" max="5455" width="8.85546875" style="806" customWidth="1"/>
    <col min="5456" max="5632" width="9.140625" style="806"/>
    <col min="5633" max="5633" width="4.85546875" style="806" customWidth="1"/>
    <col min="5634" max="5634" width="6.7109375" style="806" customWidth="1"/>
    <col min="5635" max="5635" width="6.140625" style="806" customWidth="1"/>
    <col min="5636" max="5636" width="10" style="806" customWidth="1"/>
    <col min="5637" max="5637" width="11.28515625" style="806" customWidth="1"/>
    <col min="5638" max="5638" width="11.5703125" style="806" customWidth="1"/>
    <col min="5639" max="5639" width="13.85546875" style="806" customWidth="1"/>
    <col min="5640" max="5641" width="11.28515625" style="806" customWidth="1"/>
    <col min="5642" max="5642" width="10.140625" style="806" customWidth="1"/>
    <col min="5643" max="5711" width="8.85546875" style="806" customWidth="1"/>
    <col min="5712" max="5888" width="9.140625" style="806"/>
    <col min="5889" max="5889" width="4.85546875" style="806" customWidth="1"/>
    <col min="5890" max="5890" width="6.7109375" style="806" customWidth="1"/>
    <col min="5891" max="5891" width="6.140625" style="806" customWidth="1"/>
    <col min="5892" max="5892" width="10" style="806" customWidth="1"/>
    <col min="5893" max="5893" width="11.28515625" style="806" customWidth="1"/>
    <col min="5894" max="5894" width="11.5703125" style="806" customWidth="1"/>
    <col min="5895" max="5895" width="13.85546875" style="806" customWidth="1"/>
    <col min="5896" max="5897" width="11.28515625" style="806" customWidth="1"/>
    <col min="5898" max="5898" width="10.140625" style="806" customWidth="1"/>
    <col min="5899" max="5967" width="8.85546875" style="806" customWidth="1"/>
    <col min="5968" max="6144" width="9.140625" style="806"/>
    <col min="6145" max="6145" width="4.85546875" style="806" customWidth="1"/>
    <col min="6146" max="6146" width="6.7109375" style="806" customWidth="1"/>
    <col min="6147" max="6147" width="6.140625" style="806" customWidth="1"/>
    <col min="6148" max="6148" width="10" style="806" customWidth="1"/>
    <col min="6149" max="6149" width="11.28515625" style="806" customWidth="1"/>
    <col min="6150" max="6150" width="11.5703125" style="806" customWidth="1"/>
    <col min="6151" max="6151" width="13.85546875" style="806" customWidth="1"/>
    <col min="6152" max="6153" width="11.28515625" style="806" customWidth="1"/>
    <col min="6154" max="6154" width="10.140625" style="806" customWidth="1"/>
    <col min="6155" max="6223" width="8.85546875" style="806" customWidth="1"/>
    <col min="6224" max="6400" width="9.140625" style="806"/>
    <col min="6401" max="6401" width="4.85546875" style="806" customWidth="1"/>
    <col min="6402" max="6402" width="6.7109375" style="806" customWidth="1"/>
    <col min="6403" max="6403" width="6.140625" style="806" customWidth="1"/>
    <col min="6404" max="6404" width="10" style="806" customWidth="1"/>
    <col min="6405" max="6405" width="11.28515625" style="806" customWidth="1"/>
    <col min="6406" max="6406" width="11.5703125" style="806" customWidth="1"/>
    <col min="6407" max="6407" width="13.85546875" style="806" customWidth="1"/>
    <col min="6408" max="6409" width="11.28515625" style="806" customWidth="1"/>
    <col min="6410" max="6410" width="10.140625" style="806" customWidth="1"/>
    <col min="6411" max="6479" width="8.85546875" style="806" customWidth="1"/>
    <col min="6480" max="6656" width="9.140625" style="806"/>
    <col min="6657" max="6657" width="4.85546875" style="806" customWidth="1"/>
    <col min="6658" max="6658" width="6.7109375" style="806" customWidth="1"/>
    <col min="6659" max="6659" width="6.140625" style="806" customWidth="1"/>
    <col min="6660" max="6660" width="10" style="806" customWidth="1"/>
    <col min="6661" max="6661" width="11.28515625" style="806" customWidth="1"/>
    <col min="6662" max="6662" width="11.5703125" style="806" customWidth="1"/>
    <col min="6663" max="6663" width="13.85546875" style="806" customWidth="1"/>
    <col min="6664" max="6665" width="11.28515625" style="806" customWidth="1"/>
    <col min="6666" max="6666" width="10.140625" style="806" customWidth="1"/>
    <col min="6667" max="6735" width="8.85546875" style="806" customWidth="1"/>
    <col min="6736" max="6912" width="9.140625" style="806"/>
    <col min="6913" max="6913" width="4.85546875" style="806" customWidth="1"/>
    <col min="6914" max="6914" width="6.7109375" style="806" customWidth="1"/>
    <col min="6915" max="6915" width="6.140625" style="806" customWidth="1"/>
    <col min="6916" max="6916" width="10" style="806" customWidth="1"/>
    <col min="6917" max="6917" width="11.28515625" style="806" customWidth="1"/>
    <col min="6918" max="6918" width="11.5703125" style="806" customWidth="1"/>
    <col min="6919" max="6919" width="13.85546875" style="806" customWidth="1"/>
    <col min="6920" max="6921" width="11.28515625" style="806" customWidth="1"/>
    <col min="6922" max="6922" width="10.140625" style="806" customWidth="1"/>
    <col min="6923" max="6991" width="8.85546875" style="806" customWidth="1"/>
    <col min="6992" max="7168" width="9.140625" style="806"/>
    <col min="7169" max="7169" width="4.85546875" style="806" customWidth="1"/>
    <col min="7170" max="7170" width="6.7109375" style="806" customWidth="1"/>
    <col min="7171" max="7171" width="6.140625" style="806" customWidth="1"/>
    <col min="7172" max="7172" width="10" style="806" customWidth="1"/>
    <col min="7173" max="7173" width="11.28515625" style="806" customWidth="1"/>
    <col min="7174" max="7174" width="11.5703125" style="806" customWidth="1"/>
    <col min="7175" max="7175" width="13.85546875" style="806" customWidth="1"/>
    <col min="7176" max="7177" width="11.28515625" style="806" customWidth="1"/>
    <col min="7178" max="7178" width="10.140625" style="806" customWidth="1"/>
    <col min="7179" max="7247" width="8.85546875" style="806" customWidth="1"/>
    <col min="7248" max="7424" width="9.140625" style="806"/>
    <col min="7425" max="7425" width="4.85546875" style="806" customWidth="1"/>
    <col min="7426" max="7426" width="6.7109375" style="806" customWidth="1"/>
    <col min="7427" max="7427" width="6.140625" style="806" customWidth="1"/>
    <col min="7428" max="7428" width="10" style="806" customWidth="1"/>
    <col min="7429" max="7429" width="11.28515625" style="806" customWidth="1"/>
    <col min="7430" max="7430" width="11.5703125" style="806" customWidth="1"/>
    <col min="7431" max="7431" width="13.85546875" style="806" customWidth="1"/>
    <col min="7432" max="7433" width="11.28515625" style="806" customWidth="1"/>
    <col min="7434" max="7434" width="10.140625" style="806" customWidth="1"/>
    <col min="7435" max="7503" width="8.85546875" style="806" customWidth="1"/>
    <col min="7504" max="7680" width="9.140625" style="806"/>
    <col min="7681" max="7681" width="4.85546875" style="806" customWidth="1"/>
    <col min="7682" max="7682" width="6.7109375" style="806" customWidth="1"/>
    <col min="7683" max="7683" width="6.140625" style="806" customWidth="1"/>
    <col min="7684" max="7684" width="10" style="806" customWidth="1"/>
    <col min="7685" max="7685" width="11.28515625" style="806" customWidth="1"/>
    <col min="7686" max="7686" width="11.5703125" style="806" customWidth="1"/>
    <col min="7687" max="7687" width="13.85546875" style="806" customWidth="1"/>
    <col min="7688" max="7689" width="11.28515625" style="806" customWidth="1"/>
    <col min="7690" max="7690" width="10.140625" style="806" customWidth="1"/>
    <col min="7691" max="7759" width="8.85546875" style="806" customWidth="1"/>
    <col min="7760" max="7936" width="9.140625" style="806"/>
    <col min="7937" max="7937" width="4.85546875" style="806" customWidth="1"/>
    <col min="7938" max="7938" width="6.7109375" style="806" customWidth="1"/>
    <col min="7939" max="7939" width="6.140625" style="806" customWidth="1"/>
    <col min="7940" max="7940" width="10" style="806" customWidth="1"/>
    <col min="7941" max="7941" width="11.28515625" style="806" customWidth="1"/>
    <col min="7942" max="7942" width="11.5703125" style="806" customWidth="1"/>
    <col min="7943" max="7943" width="13.85546875" style="806" customWidth="1"/>
    <col min="7944" max="7945" width="11.28515625" style="806" customWidth="1"/>
    <col min="7946" max="7946" width="10.140625" style="806" customWidth="1"/>
    <col min="7947" max="8015" width="8.85546875" style="806" customWidth="1"/>
    <col min="8016" max="8192" width="9.140625" style="806"/>
    <col min="8193" max="8193" width="4.85546875" style="806" customWidth="1"/>
    <col min="8194" max="8194" width="6.7109375" style="806" customWidth="1"/>
    <col min="8195" max="8195" width="6.140625" style="806" customWidth="1"/>
    <col min="8196" max="8196" width="10" style="806" customWidth="1"/>
    <col min="8197" max="8197" width="11.28515625" style="806" customWidth="1"/>
    <col min="8198" max="8198" width="11.5703125" style="806" customWidth="1"/>
    <col min="8199" max="8199" width="13.85546875" style="806" customWidth="1"/>
    <col min="8200" max="8201" width="11.28515625" style="806" customWidth="1"/>
    <col min="8202" max="8202" width="10.140625" style="806" customWidth="1"/>
    <col min="8203" max="8271" width="8.85546875" style="806" customWidth="1"/>
    <col min="8272" max="8448" width="9.140625" style="806"/>
    <col min="8449" max="8449" width="4.85546875" style="806" customWidth="1"/>
    <col min="8450" max="8450" width="6.7109375" style="806" customWidth="1"/>
    <col min="8451" max="8451" width="6.140625" style="806" customWidth="1"/>
    <col min="8452" max="8452" width="10" style="806" customWidth="1"/>
    <col min="8453" max="8453" width="11.28515625" style="806" customWidth="1"/>
    <col min="8454" max="8454" width="11.5703125" style="806" customWidth="1"/>
    <col min="8455" max="8455" width="13.85546875" style="806" customWidth="1"/>
    <col min="8456" max="8457" width="11.28515625" style="806" customWidth="1"/>
    <col min="8458" max="8458" width="10.140625" style="806" customWidth="1"/>
    <col min="8459" max="8527" width="8.85546875" style="806" customWidth="1"/>
    <col min="8528" max="8704" width="9.140625" style="806"/>
    <col min="8705" max="8705" width="4.85546875" style="806" customWidth="1"/>
    <col min="8706" max="8706" width="6.7109375" style="806" customWidth="1"/>
    <col min="8707" max="8707" width="6.140625" style="806" customWidth="1"/>
    <col min="8708" max="8708" width="10" style="806" customWidth="1"/>
    <col min="8709" max="8709" width="11.28515625" style="806" customWidth="1"/>
    <col min="8710" max="8710" width="11.5703125" style="806" customWidth="1"/>
    <col min="8711" max="8711" width="13.85546875" style="806" customWidth="1"/>
    <col min="8712" max="8713" width="11.28515625" style="806" customWidth="1"/>
    <col min="8714" max="8714" width="10.140625" style="806" customWidth="1"/>
    <col min="8715" max="8783" width="8.85546875" style="806" customWidth="1"/>
    <col min="8784" max="8960" width="9.140625" style="806"/>
    <col min="8961" max="8961" width="4.85546875" style="806" customWidth="1"/>
    <col min="8962" max="8962" width="6.7109375" style="806" customWidth="1"/>
    <col min="8963" max="8963" width="6.140625" style="806" customWidth="1"/>
    <col min="8964" max="8964" width="10" style="806" customWidth="1"/>
    <col min="8965" max="8965" width="11.28515625" style="806" customWidth="1"/>
    <col min="8966" max="8966" width="11.5703125" style="806" customWidth="1"/>
    <col min="8967" max="8967" width="13.85546875" style="806" customWidth="1"/>
    <col min="8968" max="8969" width="11.28515625" style="806" customWidth="1"/>
    <col min="8970" max="8970" width="10.140625" style="806" customWidth="1"/>
    <col min="8971" max="9039" width="8.85546875" style="806" customWidth="1"/>
    <col min="9040" max="9216" width="9.140625" style="806"/>
    <col min="9217" max="9217" width="4.85546875" style="806" customWidth="1"/>
    <col min="9218" max="9218" width="6.7109375" style="806" customWidth="1"/>
    <col min="9219" max="9219" width="6.140625" style="806" customWidth="1"/>
    <col min="9220" max="9220" width="10" style="806" customWidth="1"/>
    <col min="9221" max="9221" width="11.28515625" style="806" customWidth="1"/>
    <col min="9222" max="9222" width="11.5703125" style="806" customWidth="1"/>
    <col min="9223" max="9223" width="13.85546875" style="806" customWidth="1"/>
    <col min="9224" max="9225" width="11.28515625" style="806" customWidth="1"/>
    <col min="9226" max="9226" width="10.140625" style="806" customWidth="1"/>
    <col min="9227" max="9295" width="8.85546875" style="806" customWidth="1"/>
    <col min="9296" max="9472" width="9.140625" style="806"/>
    <col min="9473" max="9473" width="4.85546875" style="806" customWidth="1"/>
    <col min="9474" max="9474" width="6.7109375" style="806" customWidth="1"/>
    <col min="9475" max="9475" width="6.140625" style="806" customWidth="1"/>
    <col min="9476" max="9476" width="10" style="806" customWidth="1"/>
    <col min="9477" max="9477" width="11.28515625" style="806" customWidth="1"/>
    <col min="9478" max="9478" width="11.5703125" style="806" customWidth="1"/>
    <col min="9479" max="9479" width="13.85546875" style="806" customWidth="1"/>
    <col min="9480" max="9481" width="11.28515625" style="806" customWidth="1"/>
    <col min="9482" max="9482" width="10.140625" style="806" customWidth="1"/>
    <col min="9483" max="9551" width="8.85546875" style="806" customWidth="1"/>
    <col min="9552" max="9728" width="9.140625" style="806"/>
    <col min="9729" max="9729" width="4.85546875" style="806" customWidth="1"/>
    <col min="9730" max="9730" width="6.7109375" style="806" customWidth="1"/>
    <col min="9731" max="9731" width="6.140625" style="806" customWidth="1"/>
    <col min="9732" max="9732" width="10" style="806" customWidth="1"/>
    <col min="9733" max="9733" width="11.28515625" style="806" customWidth="1"/>
    <col min="9734" max="9734" width="11.5703125" style="806" customWidth="1"/>
    <col min="9735" max="9735" width="13.85546875" style="806" customWidth="1"/>
    <col min="9736" max="9737" width="11.28515625" style="806" customWidth="1"/>
    <col min="9738" max="9738" width="10.140625" style="806" customWidth="1"/>
    <col min="9739" max="9807" width="8.85546875" style="806" customWidth="1"/>
    <col min="9808" max="9984" width="9.140625" style="806"/>
    <col min="9985" max="9985" width="4.85546875" style="806" customWidth="1"/>
    <col min="9986" max="9986" width="6.7109375" style="806" customWidth="1"/>
    <col min="9987" max="9987" width="6.140625" style="806" customWidth="1"/>
    <col min="9988" max="9988" width="10" style="806" customWidth="1"/>
    <col min="9989" max="9989" width="11.28515625" style="806" customWidth="1"/>
    <col min="9990" max="9990" width="11.5703125" style="806" customWidth="1"/>
    <col min="9991" max="9991" width="13.85546875" style="806" customWidth="1"/>
    <col min="9992" max="9993" width="11.28515625" style="806" customWidth="1"/>
    <col min="9994" max="9994" width="10.140625" style="806" customWidth="1"/>
    <col min="9995" max="10063" width="8.85546875" style="806" customWidth="1"/>
    <col min="10064" max="10240" width="9.140625" style="806"/>
    <col min="10241" max="10241" width="4.85546875" style="806" customWidth="1"/>
    <col min="10242" max="10242" width="6.7109375" style="806" customWidth="1"/>
    <col min="10243" max="10243" width="6.140625" style="806" customWidth="1"/>
    <col min="10244" max="10244" width="10" style="806" customWidth="1"/>
    <col min="10245" max="10245" width="11.28515625" style="806" customWidth="1"/>
    <col min="10246" max="10246" width="11.5703125" style="806" customWidth="1"/>
    <col min="10247" max="10247" width="13.85546875" style="806" customWidth="1"/>
    <col min="10248" max="10249" width="11.28515625" style="806" customWidth="1"/>
    <col min="10250" max="10250" width="10.140625" style="806" customWidth="1"/>
    <col min="10251" max="10319" width="8.85546875" style="806" customWidth="1"/>
    <col min="10320" max="10496" width="9.140625" style="806"/>
    <col min="10497" max="10497" width="4.85546875" style="806" customWidth="1"/>
    <col min="10498" max="10498" width="6.7109375" style="806" customWidth="1"/>
    <col min="10499" max="10499" width="6.140625" style="806" customWidth="1"/>
    <col min="10500" max="10500" width="10" style="806" customWidth="1"/>
    <col min="10501" max="10501" width="11.28515625" style="806" customWidth="1"/>
    <col min="10502" max="10502" width="11.5703125" style="806" customWidth="1"/>
    <col min="10503" max="10503" width="13.85546875" style="806" customWidth="1"/>
    <col min="10504" max="10505" width="11.28515625" style="806" customWidth="1"/>
    <col min="10506" max="10506" width="10.140625" style="806" customWidth="1"/>
    <col min="10507" max="10575" width="8.85546875" style="806" customWidth="1"/>
    <col min="10576" max="10752" width="9.140625" style="806"/>
    <col min="10753" max="10753" width="4.85546875" style="806" customWidth="1"/>
    <col min="10754" max="10754" width="6.7109375" style="806" customWidth="1"/>
    <col min="10755" max="10755" width="6.140625" style="806" customWidth="1"/>
    <col min="10756" max="10756" width="10" style="806" customWidth="1"/>
    <col min="10757" max="10757" width="11.28515625" style="806" customWidth="1"/>
    <col min="10758" max="10758" width="11.5703125" style="806" customWidth="1"/>
    <col min="10759" max="10759" width="13.85546875" style="806" customWidth="1"/>
    <col min="10760" max="10761" width="11.28515625" style="806" customWidth="1"/>
    <col min="10762" max="10762" width="10.140625" style="806" customWidth="1"/>
    <col min="10763" max="10831" width="8.85546875" style="806" customWidth="1"/>
    <col min="10832" max="11008" width="9.140625" style="806"/>
    <col min="11009" max="11009" width="4.85546875" style="806" customWidth="1"/>
    <col min="11010" max="11010" width="6.7109375" style="806" customWidth="1"/>
    <col min="11011" max="11011" width="6.140625" style="806" customWidth="1"/>
    <col min="11012" max="11012" width="10" style="806" customWidth="1"/>
    <col min="11013" max="11013" width="11.28515625" style="806" customWidth="1"/>
    <col min="11014" max="11014" width="11.5703125" style="806" customWidth="1"/>
    <col min="11015" max="11015" width="13.85546875" style="806" customWidth="1"/>
    <col min="11016" max="11017" width="11.28515625" style="806" customWidth="1"/>
    <col min="11018" max="11018" width="10.140625" style="806" customWidth="1"/>
    <col min="11019" max="11087" width="8.85546875" style="806" customWidth="1"/>
    <col min="11088" max="11264" width="9.140625" style="806"/>
    <col min="11265" max="11265" width="4.85546875" style="806" customWidth="1"/>
    <col min="11266" max="11266" width="6.7109375" style="806" customWidth="1"/>
    <col min="11267" max="11267" width="6.140625" style="806" customWidth="1"/>
    <col min="11268" max="11268" width="10" style="806" customWidth="1"/>
    <col min="11269" max="11269" width="11.28515625" style="806" customWidth="1"/>
    <col min="11270" max="11270" width="11.5703125" style="806" customWidth="1"/>
    <col min="11271" max="11271" width="13.85546875" style="806" customWidth="1"/>
    <col min="11272" max="11273" width="11.28515625" style="806" customWidth="1"/>
    <col min="11274" max="11274" width="10.140625" style="806" customWidth="1"/>
    <col min="11275" max="11343" width="8.85546875" style="806" customWidth="1"/>
    <col min="11344" max="11520" width="9.140625" style="806"/>
    <col min="11521" max="11521" width="4.85546875" style="806" customWidth="1"/>
    <col min="11522" max="11522" width="6.7109375" style="806" customWidth="1"/>
    <col min="11523" max="11523" width="6.140625" style="806" customWidth="1"/>
    <col min="11524" max="11524" width="10" style="806" customWidth="1"/>
    <col min="11525" max="11525" width="11.28515625" style="806" customWidth="1"/>
    <col min="11526" max="11526" width="11.5703125" style="806" customWidth="1"/>
    <col min="11527" max="11527" width="13.85546875" style="806" customWidth="1"/>
    <col min="11528" max="11529" width="11.28515625" style="806" customWidth="1"/>
    <col min="11530" max="11530" width="10.140625" style="806" customWidth="1"/>
    <col min="11531" max="11599" width="8.85546875" style="806" customWidth="1"/>
    <col min="11600" max="11776" width="9.140625" style="806"/>
    <col min="11777" max="11777" width="4.85546875" style="806" customWidth="1"/>
    <col min="11778" max="11778" width="6.7109375" style="806" customWidth="1"/>
    <col min="11779" max="11779" width="6.140625" style="806" customWidth="1"/>
    <col min="11780" max="11780" width="10" style="806" customWidth="1"/>
    <col min="11781" max="11781" width="11.28515625" style="806" customWidth="1"/>
    <col min="11782" max="11782" width="11.5703125" style="806" customWidth="1"/>
    <col min="11783" max="11783" width="13.85546875" style="806" customWidth="1"/>
    <col min="11784" max="11785" width="11.28515625" style="806" customWidth="1"/>
    <col min="11786" max="11786" width="10.140625" style="806" customWidth="1"/>
    <col min="11787" max="11855" width="8.85546875" style="806" customWidth="1"/>
    <col min="11856" max="12032" width="9.140625" style="806"/>
    <col min="12033" max="12033" width="4.85546875" style="806" customWidth="1"/>
    <col min="12034" max="12034" width="6.7109375" style="806" customWidth="1"/>
    <col min="12035" max="12035" width="6.140625" style="806" customWidth="1"/>
    <col min="12036" max="12036" width="10" style="806" customWidth="1"/>
    <col min="12037" max="12037" width="11.28515625" style="806" customWidth="1"/>
    <col min="12038" max="12038" width="11.5703125" style="806" customWidth="1"/>
    <col min="12039" max="12039" width="13.85546875" style="806" customWidth="1"/>
    <col min="12040" max="12041" width="11.28515625" style="806" customWidth="1"/>
    <col min="12042" max="12042" width="10.140625" style="806" customWidth="1"/>
    <col min="12043" max="12111" width="8.85546875" style="806" customWidth="1"/>
    <col min="12112" max="12288" width="9.140625" style="806"/>
    <col min="12289" max="12289" width="4.85546875" style="806" customWidth="1"/>
    <col min="12290" max="12290" width="6.7109375" style="806" customWidth="1"/>
    <col min="12291" max="12291" width="6.140625" style="806" customWidth="1"/>
    <col min="12292" max="12292" width="10" style="806" customWidth="1"/>
    <col min="12293" max="12293" width="11.28515625" style="806" customWidth="1"/>
    <col min="12294" max="12294" width="11.5703125" style="806" customWidth="1"/>
    <col min="12295" max="12295" width="13.85546875" style="806" customWidth="1"/>
    <col min="12296" max="12297" width="11.28515625" style="806" customWidth="1"/>
    <col min="12298" max="12298" width="10.140625" style="806" customWidth="1"/>
    <col min="12299" max="12367" width="8.85546875" style="806" customWidth="1"/>
    <col min="12368" max="12544" width="9.140625" style="806"/>
    <col min="12545" max="12545" width="4.85546875" style="806" customWidth="1"/>
    <col min="12546" max="12546" width="6.7109375" style="806" customWidth="1"/>
    <col min="12547" max="12547" width="6.140625" style="806" customWidth="1"/>
    <col min="12548" max="12548" width="10" style="806" customWidth="1"/>
    <col min="12549" max="12549" width="11.28515625" style="806" customWidth="1"/>
    <col min="12550" max="12550" width="11.5703125" style="806" customWidth="1"/>
    <col min="12551" max="12551" width="13.85546875" style="806" customWidth="1"/>
    <col min="12552" max="12553" width="11.28515625" style="806" customWidth="1"/>
    <col min="12554" max="12554" width="10.140625" style="806" customWidth="1"/>
    <col min="12555" max="12623" width="8.85546875" style="806" customWidth="1"/>
    <col min="12624" max="12800" width="9.140625" style="806"/>
    <col min="12801" max="12801" width="4.85546875" style="806" customWidth="1"/>
    <col min="12802" max="12802" width="6.7109375" style="806" customWidth="1"/>
    <col min="12803" max="12803" width="6.140625" style="806" customWidth="1"/>
    <col min="12804" max="12804" width="10" style="806" customWidth="1"/>
    <col min="12805" max="12805" width="11.28515625" style="806" customWidth="1"/>
    <col min="12806" max="12806" width="11.5703125" style="806" customWidth="1"/>
    <col min="12807" max="12807" width="13.85546875" style="806" customWidth="1"/>
    <col min="12808" max="12809" width="11.28515625" style="806" customWidth="1"/>
    <col min="12810" max="12810" width="10.140625" style="806" customWidth="1"/>
    <col min="12811" max="12879" width="8.85546875" style="806" customWidth="1"/>
    <col min="12880" max="13056" width="9.140625" style="806"/>
    <col min="13057" max="13057" width="4.85546875" style="806" customWidth="1"/>
    <col min="13058" max="13058" width="6.7109375" style="806" customWidth="1"/>
    <col min="13059" max="13059" width="6.140625" style="806" customWidth="1"/>
    <col min="13060" max="13060" width="10" style="806" customWidth="1"/>
    <col min="13061" max="13061" width="11.28515625" style="806" customWidth="1"/>
    <col min="13062" max="13062" width="11.5703125" style="806" customWidth="1"/>
    <col min="13063" max="13063" width="13.85546875" style="806" customWidth="1"/>
    <col min="13064" max="13065" width="11.28515625" style="806" customWidth="1"/>
    <col min="13066" max="13066" width="10.140625" style="806" customWidth="1"/>
    <col min="13067" max="13135" width="8.85546875" style="806" customWidth="1"/>
    <col min="13136" max="13312" width="9.140625" style="806"/>
    <col min="13313" max="13313" width="4.85546875" style="806" customWidth="1"/>
    <col min="13314" max="13314" width="6.7109375" style="806" customWidth="1"/>
    <col min="13315" max="13315" width="6.140625" style="806" customWidth="1"/>
    <col min="13316" max="13316" width="10" style="806" customWidth="1"/>
    <col min="13317" max="13317" width="11.28515625" style="806" customWidth="1"/>
    <col min="13318" max="13318" width="11.5703125" style="806" customWidth="1"/>
    <col min="13319" max="13319" width="13.85546875" style="806" customWidth="1"/>
    <col min="13320" max="13321" width="11.28515625" style="806" customWidth="1"/>
    <col min="13322" max="13322" width="10.140625" style="806" customWidth="1"/>
    <col min="13323" max="13391" width="8.85546875" style="806" customWidth="1"/>
    <col min="13392" max="13568" width="9.140625" style="806"/>
    <col min="13569" max="13569" width="4.85546875" style="806" customWidth="1"/>
    <col min="13570" max="13570" width="6.7109375" style="806" customWidth="1"/>
    <col min="13571" max="13571" width="6.140625" style="806" customWidth="1"/>
    <col min="13572" max="13572" width="10" style="806" customWidth="1"/>
    <col min="13573" max="13573" width="11.28515625" style="806" customWidth="1"/>
    <col min="13574" max="13574" width="11.5703125" style="806" customWidth="1"/>
    <col min="13575" max="13575" width="13.85546875" style="806" customWidth="1"/>
    <col min="13576" max="13577" width="11.28515625" style="806" customWidth="1"/>
    <col min="13578" max="13578" width="10.140625" style="806" customWidth="1"/>
    <col min="13579" max="13647" width="8.85546875" style="806" customWidth="1"/>
    <col min="13648" max="13824" width="9.140625" style="806"/>
    <col min="13825" max="13825" width="4.85546875" style="806" customWidth="1"/>
    <col min="13826" max="13826" width="6.7109375" style="806" customWidth="1"/>
    <col min="13827" max="13827" width="6.140625" style="806" customWidth="1"/>
    <col min="13828" max="13828" width="10" style="806" customWidth="1"/>
    <col min="13829" max="13829" width="11.28515625" style="806" customWidth="1"/>
    <col min="13830" max="13830" width="11.5703125" style="806" customWidth="1"/>
    <col min="13831" max="13831" width="13.85546875" style="806" customWidth="1"/>
    <col min="13832" max="13833" width="11.28515625" style="806" customWidth="1"/>
    <col min="13834" max="13834" width="10.140625" style="806" customWidth="1"/>
    <col min="13835" max="13903" width="8.85546875" style="806" customWidth="1"/>
    <col min="13904" max="14080" width="9.140625" style="806"/>
    <col min="14081" max="14081" width="4.85546875" style="806" customWidth="1"/>
    <col min="14082" max="14082" width="6.7109375" style="806" customWidth="1"/>
    <col min="14083" max="14083" width="6.140625" style="806" customWidth="1"/>
    <col min="14084" max="14084" width="10" style="806" customWidth="1"/>
    <col min="14085" max="14085" width="11.28515625" style="806" customWidth="1"/>
    <col min="14086" max="14086" width="11.5703125" style="806" customWidth="1"/>
    <col min="14087" max="14087" width="13.85546875" style="806" customWidth="1"/>
    <col min="14088" max="14089" width="11.28515625" style="806" customWidth="1"/>
    <col min="14090" max="14090" width="10.140625" style="806" customWidth="1"/>
    <col min="14091" max="14159" width="8.85546875" style="806" customWidth="1"/>
    <col min="14160" max="14336" width="9.140625" style="806"/>
    <col min="14337" max="14337" width="4.85546875" style="806" customWidth="1"/>
    <col min="14338" max="14338" width="6.7109375" style="806" customWidth="1"/>
    <col min="14339" max="14339" width="6.140625" style="806" customWidth="1"/>
    <col min="14340" max="14340" width="10" style="806" customWidth="1"/>
    <col min="14341" max="14341" width="11.28515625" style="806" customWidth="1"/>
    <col min="14342" max="14342" width="11.5703125" style="806" customWidth="1"/>
    <col min="14343" max="14343" width="13.85546875" style="806" customWidth="1"/>
    <col min="14344" max="14345" width="11.28515625" style="806" customWidth="1"/>
    <col min="14346" max="14346" width="10.140625" style="806" customWidth="1"/>
    <col min="14347" max="14415" width="8.85546875" style="806" customWidth="1"/>
    <col min="14416" max="14592" width="9.140625" style="806"/>
    <col min="14593" max="14593" width="4.85546875" style="806" customWidth="1"/>
    <col min="14594" max="14594" width="6.7109375" style="806" customWidth="1"/>
    <col min="14595" max="14595" width="6.140625" style="806" customWidth="1"/>
    <col min="14596" max="14596" width="10" style="806" customWidth="1"/>
    <col min="14597" max="14597" width="11.28515625" style="806" customWidth="1"/>
    <col min="14598" max="14598" width="11.5703125" style="806" customWidth="1"/>
    <col min="14599" max="14599" width="13.85546875" style="806" customWidth="1"/>
    <col min="14600" max="14601" width="11.28515625" style="806" customWidth="1"/>
    <col min="14602" max="14602" width="10.140625" style="806" customWidth="1"/>
    <col min="14603" max="14671" width="8.85546875" style="806" customWidth="1"/>
    <col min="14672" max="14848" width="9.140625" style="806"/>
    <col min="14849" max="14849" width="4.85546875" style="806" customWidth="1"/>
    <col min="14850" max="14850" width="6.7109375" style="806" customWidth="1"/>
    <col min="14851" max="14851" width="6.140625" style="806" customWidth="1"/>
    <col min="14852" max="14852" width="10" style="806" customWidth="1"/>
    <col min="14853" max="14853" width="11.28515625" style="806" customWidth="1"/>
    <col min="14854" max="14854" width="11.5703125" style="806" customWidth="1"/>
    <col min="14855" max="14855" width="13.85546875" style="806" customWidth="1"/>
    <col min="14856" max="14857" width="11.28515625" style="806" customWidth="1"/>
    <col min="14858" max="14858" width="10.140625" style="806" customWidth="1"/>
    <col min="14859" max="14927" width="8.85546875" style="806" customWidth="1"/>
    <col min="14928" max="15104" width="9.140625" style="806"/>
    <col min="15105" max="15105" width="4.85546875" style="806" customWidth="1"/>
    <col min="15106" max="15106" width="6.7109375" style="806" customWidth="1"/>
    <col min="15107" max="15107" width="6.140625" style="806" customWidth="1"/>
    <col min="15108" max="15108" width="10" style="806" customWidth="1"/>
    <col min="15109" max="15109" width="11.28515625" style="806" customWidth="1"/>
    <col min="15110" max="15110" width="11.5703125" style="806" customWidth="1"/>
    <col min="15111" max="15111" width="13.85546875" style="806" customWidth="1"/>
    <col min="15112" max="15113" width="11.28515625" style="806" customWidth="1"/>
    <col min="15114" max="15114" width="10.140625" style="806" customWidth="1"/>
    <col min="15115" max="15183" width="8.85546875" style="806" customWidth="1"/>
    <col min="15184" max="15360" width="9.140625" style="806"/>
    <col min="15361" max="15361" width="4.85546875" style="806" customWidth="1"/>
    <col min="15362" max="15362" width="6.7109375" style="806" customWidth="1"/>
    <col min="15363" max="15363" width="6.140625" style="806" customWidth="1"/>
    <col min="15364" max="15364" width="10" style="806" customWidth="1"/>
    <col min="15365" max="15365" width="11.28515625" style="806" customWidth="1"/>
    <col min="15366" max="15366" width="11.5703125" style="806" customWidth="1"/>
    <col min="15367" max="15367" width="13.85546875" style="806" customWidth="1"/>
    <col min="15368" max="15369" width="11.28515625" style="806" customWidth="1"/>
    <col min="15370" max="15370" width="10.140625" style="806" customWidth="1"/>
    <col min="15371" max="15439" width="8.85546875" style="806" customWidth="1"/>
    <col min="15440" max="15616" width="9.140625" style="806"/>
    <col min="15617" max="15617" width="4.85546875" style="806" customWidth="1"/>
    <col min="15618" max="15618" width="6.7109375" style="806" customWidth="1"/>
    <col min="15619" max="15619" width="6.140625" style="806" customWidth="1"/>
    <col min="15620" max="15620" width="10" style="806" customWidth="1"/>
    <col min="15621" max="15621" width="11.28515625" style="806" customWidth="1"/>
    <col min="15622" max="15622" width="11.5703125" style="806" customWidth="1"/>
    <col min="15623" max="15623" width="13.85546875" style="806" customWidth="1"/>
    <col min="15624" max="15625" width="11.28515625" style="806" customWidth="1"/>
    <col min="15626" max="15626" width="10.140625" style="806" customWidth="1"/>
    <col min="15627" max="15695" width="8.85546875" style="806" customWidth="1"/>
    <col min="15696" max="15872" width="9.140625" style="806"/>
    <col min="15873" max="15873" width="4.85546875" style="806" customWidth="1"/>
    <col min="15874" max="15874" width="6.7109375" style="806" customWidth="1"/>
    <col min="15875" max="15875" width="6.140625" style="806" customWidth="1"/>
    <col min="15876" max="15876" width="10" style="806" customWidth="1"/>
    <col min="15877" max="15877" width="11.28515625" style="806" customWidth="1"/>
    <col min="15878" max="15878" width="11.5703125" style="806" customWidth="1"/>
    <col min="15879" max="15879" width="13.85546875" style="806" customWidth="1"/>
    <col min="15880" max="15881" width="11.28515625" style="806" customWidth="1"/>
    <col min="15882" max="15882" width="10.140625" style="806" customWidth="1"/>
    <col min="15883" max="15951" width="8.85546875" style="806" customWidth="1"/>
    <col min="15952" max="16128" width="9.140625" style="806"/>
    <col min="16129" max="16129" width="4.85546875" style="806" customWidth="1"/>
    <col min="16130" max="16130" width="6.7109375" style="806" customWidth="1"/>
    <col min="16131" max="16131" width="6.140625" style="806" customWidth="1"/>
    <col min="16132" max="16132" width="10" style="806" customWidth="1"/>
    <col min="16133" max="16133" width="11.28515625" style="806" customWidth="1"/>
    <col min="16134" max="16134" width="11.5703125" style="806" customWidth="1"/>
    <col min="16135" max="16135" width="13.85546875" style="806" customWidth="1"/>
    <col min="16136" max="16137" width="11.28515625" style="806" customWidth="1"/>
    <col min="16138" max="16138" width="10.140625" style="806" customWidth="1"/>
    <col min="16139" max="16207" width="8.85546875" style="806" customWidth="1"/>
    <col min="16208" max="16384" width="9.140625" style="806"/>
  </cols>
  <sheetData>
    <row r="1" spans="1:75" x14ac:dyDescent="0.2">
      <c r="A1" s="805"/>
      <c r="F1" s="807"/>
      <c r="H1" s="782" t="s">
        <v>1140</v>
      </c>
      <c r="I1" s="782"/>
    </row>
    <row r="2" spans="1:75" x14ac:dyDescent="0.2">
      <c r="F2" s="807"/>
      <c r="H2" s="782" t="s">
        <v>80</v>
      </c>
      <c r="I2" s="782"/>
    </row>
    <row r="3" spans="1:75" x14ac:dyDescent="0.2">
      <c r="F3" s="807"/>
      <c r="H3" s="782" t="s">
        <v>81</v>
      </c>
      <c r="I3" s="782"/>
    </row>
    <row r="4" spans="1:75" x14ac:dyDescent="0.2">
      <c r="F4" s="807"/>
      <c r="H4" s="782" t="s">
        <v>82</v>
      </c>
      <c r="I4" s="782"/>
    </row>
    <row r="6" spans="1:75" x14ac:dyDescent="0.2">
      <c r="F6" s="807"/>
      <c r="G6" s="807"/>
      <c r="H6" s="782"/>
    </row>
    <row r="7" spans="1:75" ht="16.5" customHeight="1" x14ac:dyDescent="0.2">
      <c r="A7" s="809" t="s">
        <v>1141</v>
      </c>
      <c r="B7" s="809"/>
      <c r="C7" s="809"/>
      <c r="D7" s="809"/>
      <c r="E7" s="809"/>
      <c r="F7" s="809"/>
      <c r="G7" s="809"/>
      <c r="H7" s="809"/>
      <c r="I7" s="809"/>
      <c r="J7" s="809"/>
      <c r="M7" s="782"/>
    </row>
    <row r="8" spans="1:75" ht="14.25" customHeight="1" x14ac:dyDescent="0.2">
      <c r="A8" s="809" t="s">
        <v>1142</v>
      </c>
      <c r="B8" s="810"/>
      <c r="C8" s="810"/>
      <c r="D8" s="810"/>
      <c r="E8" s="810"/>
      <c r="F8" s="810"/>
      <c r="G8" s="810"/>
      <c r="H8" s="810"/>
      <c r="I8" s="810"/>
      <c r="J8" s="810"/>
      <c r="M8" s="782"/>
    </row>
    <row r="9" spans="1:75" ht="14.25" customHeight="1" x14ac:dyDescent="0.2">
      <c r="A9" s="809"/>
      <c r="B9" s="810"/>
      <c r="C9" s="810"/>
      <c r="D9" s="810"/>
      <c r="E9" s="810"/>
      <c r="F9" s="810"/>
      <c r="G9" s="810"/>
      <c r="H9" s="810"/>
      <c r="I9" s="810"/>
      <c r="J9" s="810"/>
      <c r="M9" s="782"/>
    </row>
    <row r="10" spans="1:75" ht="15" customHeight="1" x14ac:dyDescent="0.2">
      <c r="A10" s="811"/>
      <c r="B10" s="812"/>
      <c r="C10" s="812"/>
      <c r="D10" s="812"/>
      <c r="E10" s="812"/>
      <c r="F10" s="812"/>
      <c r="G10" s="812"/>
      <c r="H10" s="812"/>
      <c r="I10" s="812"/>
      <c r="J10" s="812"/>
      <c r="M10" s="782"/>
    </row>
    <row r="11" spans="1:75" x14ac:dyDescent="0.2">
      <c r="J11" s="813" t="s">
        <v>2</v>
      </c>
    </row>
    <row r="12" spans="1:75" s="780" customFormat="1" ht="16.5" customHeight="1" x14ac:dyDescent="0.2">
      <c r="A12" s="787"/>
      <c r="B12" s="787"/>
      <c r="C12" s="787"/>
      <c r="D12" s="788"/>
      <c r="E12" s="814" t="s">
        <v>945</v>
      </c>
      <c r="F12" s="815"/>
      <c r="G12" s="816"/>
      <c r="H12" s="817" t="s">
        <v>538</v>
      </c>
      <c r="I12" s="818"/>
      <c r="J12" s="819"/>
      <c r="K12" s="783"/>
      <c r="L12" s="783"/>
      <c r="M12" s="783"/>
      <c r="N12" s="783"/>
      <c r="O12" s="783"/>
      <c r="P12" s="783"/>
      <c r="Q12" s="783"/>
      <c r="R12" s="783"/>
      <c r="S12" s="783"/>
      <c r="T12" s="783"/>
      <c r="U12" s="783"/>
      <c r="V12" s="783"/>
      <c r="W12" s="783"/>
      <c r="X12" s="783"/>
      <c r="Y12" s="783"/>
      <c r="Z12" s="783"/>
      <c r="AA12" s="783"/>
      <c r="AB12" s="783"/>
      <c r="AC12" s="783"/>
      <c r="AD12" s="783"/>
      <c r="AE12" s="783"/>
      <c r="AF12" s="783"/>
      <c r="AG12" s="783"/>
      <c r="AH12" s="783"/>
      <c r="AI12" s="783"/>
      <c r="AJ12" s="783"/>
      <c r="AK12" s="783"/>
      <c r="AL12" s="783"/>
      <c r="AM12" s="783"/>
      <c r="AN12" s="783"/>
      <c r="AO12" s="783"/>
      <c r="AP12" s="783"/>
      <c r="AQ12" s="783"/>
      <c r="AR12" s="783"/>
      <c r="AS12" s="783"/>
      <c r="AT12" s="783"/>
      <c r="AU12" s="783"/>
      <c r="AV12" s="783"/>
      <c r="AW12" s="783"/>
      <c r="AX12" s="783"/>
      <c r="AY12" s="783"/>
      <c r="AZ12" s="783"/>
      <c r="BA12" s="783"/>
      <c r="BB12" s="783"/>
      <c r="BC12" s="783"/>
      <c r="BD12" s="783"/>
      <c r="BE12" s="783"/>
      <c r="BF12" s="783"/>
      <c r="BG12" s="783"/>
      <c r="BH12" s="783"/>
      <c r="BI12" s="783"/>
      <c r="BJ12" s="783"/>
      <c r="BK12" s="783"/>
      <c r="BL12" s="783"/>
      <c r="BM12" s="783"/>
      <c r="BN12" s="783"/>
      <c r="BO12" s="783"/>
      <c r="BP12" s="783"/>
      <c r="BQ12" s="783"/>
      <c r="BR12" s="783"/>
      <c r="BS12" s="783"/>
      <c r="BT12" s="783"/>
      <c r="BU12" s="783"/>
      <c r="BV12" s="783"/>
      <c r="BW12" s="783"/>
    </row>
    <row r="13" spans="1:75" s="780" customFormat="1" ht="15.75" customHeight="1" x14ac:dyDescent="0.2">
      <c r="A13" s="792"/>
      <c r="B13" s="792"/>
      <c r="C13" s="792"/>
      <c r="D13" s="792" t="s">
        <v>1143</v>
      </c>
      <c r="E13" s="793" t="s">
        <v>14</v>
      </c>
      <c r="F13" s="788" t="s">
        <v>1144</v>
      </c>
      <c r="G13" s="816"/>
      <c r="H13" s="816" t="s">
        <v>540</v>
      </c>
      <c r="I13" s="818"/>
      <c r="J13" s="814"/>
      <c r="K13" s="783"/>
      <c r="L13" s="783"/>
      <c r="M13" s="783"/>
      <c r="N13" s="783"/>
      <c r="O13" s="783"/>
      <c r="P13" s="783"/>
      <c r="Q13" s="783"/>
      <c r="R13" s="783"/>
      <c r="S13" s="783"/>
      <c r="T13" s="783"/>
      <c r="U13" s="783"/>
      <c r="V13" s="783"/>
      <c r="W13" s="783"/>
      <c r="X13" s="783"/>
      <c r="Y13" s="783"/>
      <c r="Z13" s="783"/>
      <c r="AA13" s="783"/>
      <c r="AB13" s="783"/>
      <c r="AC13" s="783"/>
      <c r="AD13" s="783"/>
      <c r="AE13" s="783"/>
      <c r="AF13" s="783"/>
      <c r="AG13" s="783"/>
      <c r="AH13" s="783"/>
      <c r="AI13" s="783"/>
      <c r="AJ13" s="783"/>
      <c r="AK13" s="783"/>
      <c r="AL13" s="783"/>
      <c r="AM13" s="783"/>
      <c r="AN13" s="783"/>
      <c r="AO13" s="783"/>
      <c r="AP13" s="783"/>
      <c r="AQ13" s="783"/>
      <c r="AR13" s="783"/>
      <c r="AS13" s="783"/>
      <c r="AT13" s="783"/>
      <c r="AU13" s="783"/>
      <c r="AV13" s="783"/>
      <c r="AW13" s="783"/>
      <c r="AX13" s="783"/>
      <c r="AY13" s="783"/>
      <c r="AZ13" s="783"/>
      <c r="BA13" s="783"/>
      <c r="BB13" s="783"/>
      <c r="BC13" s="783"/>
      <c r="BD13" s="783"/>
      <c r="BE13" s="783"/>
      <c r="BF13" s="783"/>
      <c r="BG13" s="783"/>
      <c r="BH13" s="783"/>
      <c r="BI13" s="783"/>
      <c r="BJ13" s="783"/>
      <c r="BK13" s="783"/>
      <c r="BL13" s="783"/>
      <c r="BM13" s="783"/>
      <c r="BN13" s="783"/>
      <c r="BO13" s="783"/>
      <c r="BP13" s="783"/>
      <c r="BQ13" s="783"/>
      <c r="BR13" s="783"/>
      <c r="BS13" s="783"/>
      <c r="BT13" s="783"/>
      <c r="BU13" s="783"/>
      <c r="BV13" s="783"/>
      <c r="BW13" s="783"/>
    </row>
    <row r="14" spans="1:75" s="780" customFormat="1" ht="53.25" customHeight="1" x14ac:dyDescent="0.2">
      <c r="A14" s="820" t="s">
        <v>696</v>
      </c>
      <c r="B14" s="820" t="s">
        <v>86</v>
      </c>
      <c r="C14" s="820" t="s">
        <v>91</v>
      </c>
      <c r="D14" s="820" t="s">
        <v>14</v>
      </c>
      <c r="E14" s="796" t="s">
        <v>1145</v>
      </c>
      <c r="F14" s="796" t="s">
        <v>547</v>
      </c>
      <c r="G14" s="819" t="s">
        <v>1136</v>
      </c>
      <c r="H14" s="819" t="s">
        <v>1137</v>
      </c>
      <c r="I14" s="819" t="s">
        <v>549</v>
      </c>
      <c r="J14" s="796" t="s">
        <v>1146</v>
      </c>
      <c r="K14" s="783"/>
      <c r="L14" s="783"/>
      <c r="M14" s="783"/>
      <c r="N14" s="783"/>
      <c r="O14" s="783"/>
      <c r="P14" s="783"/>
      <c r="Q14" s="783"/>
      <c r="R14" s="783"/>
      <c r="S14" s="783"/>
      <c r="T14" s="783"/>
      <c r="U14" s="783"/>
      <c r="V14" s="783"/>
      <c r="W14" s="783"/>
      <c r="X14" s="783"/>
      <c r="Y14" s="783"/>
      <c r="Z14" s="783"/>
      <c r="AA14" s="783"/>
      <c r="AB14" s="783"/>
      <c r="AC14" s="783"/>
      <c r="AD14" s="783"/>
      <c r="AE14" s="783"/>
      <c r="AF14" s="783"/>
      <c r="AG14" s="783"/>
      <c r="AH14" s="783"/>
      <c r="AI14" s="783"/>
      <c r="AJ14" s="783"/>
      <c r="AK14" s="783"/>
      <c r="AL14" s="783"/>
      <c r="AM14" s="783"/>
      <c r="AN14" s="783"/>
      <c r="AO14" s="783"/>
      <c r="AP14" s="783"/>
      <c r="AQ14" s="783"/>
      <c r="AR14" s="783"/>
      <c r="AS14" s="783"/>
      <c r="AT14" s="783"/>
      <c r="AU14" s="783"/>
      <c r="AV14" s="783"/>
      <c r="AW14" s="783"/>
      <c r="AX14" s="783"/>
      <c r="AY14" s="783"/>
      <c r="AZ14" s="783"/>
      <c r="BA14" s="783"/>
      <c r="BB14" s="783"/>
      <c r="BC14" s="783"/>
      <c r="BD14" s="783"/>
      <c r="BE14" s="783"/>
      <c r="BF14" s="783"/>
      <c r="BG14" s="783"/>
      <c r="BH14" s="783"/>
      <c r="BI14" s="783"/>
      <c r="BJ14" s="783"/>
      <c r="BK14" s="783"/>
      <c r="BL14" s="783"/>
      <c r="BM14" s="783"/>
      <c r="BN14" s="783"/>
      <c r="BO14" s="783"/>
      <c r="BP14" s="783"/>
      <c r="BQ14" s="783"/>
      <c r="BR14" s="783"/>
      <c r="BS14" s="783"/>
      <c r="BT14" s="783"/>
      <c r="BU14" s="783"/>
      <c r="BV14" s="783"/>
      <c r="BW14" s="783"/>
    </row>
    <row r="15" spans="1:75" s="800" customFormat="1" ht="12" customHeight="1" x14ac:dyDescent="0.2">
      <c r="A15" s="798">
        <v>1</v>
      </c>
      <c r="B15" s="798">
        <v>2</v>
      </c>
      <c r="C15" s="798">
        <v>3</v>
      </c>
      <c r="D15" s="798">
        <v>4</v>
      </c>
      <c r="E15" s="798">
        <v>5</v>
      </c>
      <c r="F15" s="798">
        <v>6</v>
      </c>
      <c r="G15" s="798">
        <v>7</v>
      </c>
      <c r="H15" s="798">
        <v>8</v>
      </c>
      <c r="I15" s="798">
        <v>9</v>
      </c>
      <c r="J15" s="798">
        <v>10</v>
      </c>
      <c r="K15" s="799"/>
      <c r="L15" s="799"/>
      <c r="M15" s="799"/>
      <c r="N15" s="799"/>
      <c r="O15" s="799"/>
      <c r="P15" s="799"/>
      <c r="Q15" s="799"/>
      <c r="R15" s="799"/>
      <c r="S15" s="799"/>
      <c r="T15" s="799"/>
      <c r="U15" s="799"/>
      <c r="V15" s="799"/>
      <c r="W15" s="799"/>
      <c r="X15" s="799"/>
      <c r="Y15" s="799"/>
      <c r="Z15" s="799"/>
      <c r="AA15" s="799"/>
      <c r="AB15" s="799"/>
      <c r="AC15" s="799"/>
      <c r="AD15" s="799"/>
      <c r="AE15" s="799"/>
      <c r="AF15" s="799"/>
      <c r="AG15" s="799"/>
      <c r="AH15" s="799"/>
      <c r="AI15" s="799"/>
      <c r="AJ15" s="799"/>
      <c r="AK15" s="799"/>
      <c r="AL15" s="799"/>
      <c r="AM15" s="799"/>
      <c r="AN15" s="799"/>
      <c r="AO15" s="799"/>
      <c r="AP15" s="799"/>
      <c r="AQ15" s="799"/>
      <c r="AR15" s="799"/>
      <c r="AS15" s="799"/>
      <c r="AT15" s="799"/>
      <c r="AU15" s="799"/>
      <c r="AV15" s="799"/>
      <c r="AW15" s="799"/>
      <c r="AX15" s="799"/>
      <c r="AY15" s="799"/>
      <c r="AZ15" s="799"/>
      <c r="BA15" s="799"/>
      <c r="BB15" s="799"/>
      <c r="BC15" s="799"/>
      <c r="BD15" s="799"/>
      <c r="BE15" s="799"/>
      <c r="BF15" s="799"/>
      <c r="BG15" s="799"/>
      <c r="BH15" s="799"/>
      <c r="BI15" s="799"/>
      <c r="BJ15" s="799"/>
      <c r="BK15" s="799"/>
      <c r="BL15" s="799"/>
      <c r="BM15" s="799"/>
      <c r="BN15" s="799"/>
      <c r="BO15" s="799"/>
      <c r="BP15" s="799"/>
      <c r="BQ15" s="799"/>
      <c r="BR15" s="799"/>
      <c r="BS15" s="799"/>
      <c r="BT15" s="799"/>
      <c r="BU15" s="799"/>
      <c r="BV15" s="799"/>
      <c r="BW15" s="799"/>
    </row>
    <row r="16" spans="1:75" s="780" customFormat="1" ht="17.100000000000001" customHeight="1" x14ac:dyDescent="0.2">
      <c r="A16" s="821">
        <v>801</v>
      </c>
      <c r="B16" s="821">
        <v>80104</v>
      </c>
      <c r="C16" s="821">
        <v>2310</v>
      </c>
      <c r="D16" s="822">
        <v>0</v>
      </c>
      <c r="E16" s="822">
        <f>SUM(F16,J16)</f>
        <v>500000</v>
      </c>
      <c r="F16" s="822">
        <v>500000</v>
      </c>
      <c r="G16" s="822">
        <v>0</v>
      </c>
      <c r="H16" s="822">
        <v>0</v>
      </c>
      <c r="I16" s="822">
        <v>500000</v>
      </c>
      <c r="J16" s="822">
        <v>0</v>
      </c>
      <c r="K16" s="783"/>
      <c r="L16" s="783"/>
      <c r="M16" s="783"/>
      <c r="N16" s="783"/>
      <c r="O16" s="783"/>
      <c r="P16" s="783"/>
      <c r="Q16" s="783"/>
      <c r="R16" s="783"/>
      <c r="S16" s="783"/>
      <c r="T16" s="783"/>
      <c r="U16" s="783"/>
      <c r="V16" s="783"/>
      <c r="W16" s="783"/>
      <c r="X16" s="783"/>
      <c r="Y16" s="783"/>
      <c r="Z16" s="783"/>
      <c r="AA16" s="783"/>
      <c r="AB16" s="783"/>
      <c r="AC16" s="783"/>
      <c r="AD16" s="783"/>
      <c r="AE16" s="783"/>
      <c r="AF16" s="783"/>
      <c r="AG16" s="783"/>
      <c r="AH16" s="783"/>
      <c r="AI16" s="783"/>
      <c r="AJ16" s="783"/>
      <c r="AK16" s="783"/>
      <c r="AL16" s="783"/>
      <c r="AM16" s="783"/>
      <c r="AN16" s="783"/>
      <c r="AO16" s="783"/>
      <c r="AP16" s="783"/>
      <c r="AQ16" s="783"/>
      <c r="AR16" s="783"/>
      <c r="AS16" s="783"/>
      <c r="AT16" s="783"/>
      <c r="AU16" s="783"/>
      <c r="AV16" s="783"/>
      <c r="AW16" s="783"/>
      <c r="AX16" s="783"/>
      <c r="AY16" s="783"/>
      <c r="AZ16" s="783"/>
      <c r="BA16" s="783"/>
      <c r="BB16" s="783"/>
      <c r="BC16" s="783"/>
      <c r="BD16" s="783"/>
      <c r="BE16" s="783"/>
      <c r="BF16" s="783"/>
      <c r="BG16" s="783"/>
      <c r="BH16" s="783"/>
      <c r="BI16" s="783"/>
      <c r="BJ16" s="783"/>
      <c r="BK16" s="783"/>
      <c r="BL16" s="783"/>
      <c r="BM16" s="783"/>
      <c r="BN16" s="783"/>
      <c r="BO16" s="783"/>
      <c r="BP16" s="783"/>
      <c r="BQ16" s="783"/>
      <c r="BR16" s="783"/>
      <c r="BS16" s="783"/>
      <c r="BT16" s="783"/>
      <c r="BU16" s="783"/>
      <c r="BV16" s="783"/>
      <c r="BW16" s="783"/>
    </row>
    <row r="17" spans="1:75" s="780" customFormat="1" ht="17.100000000000001" customHeight="1" x14ac:dyDescent="0.2">
      <c r="A17" s="823">
        <v>851</v>
      </c>
      <c r="B17" s="823">
        <v>85154</v>
      </c>
      <c r="C17" s="823">
        <v>2330</v>
      </c>
      <c r="D17" s="822">
        <v>0</v>
      </c>
      <c r="E17" s="822">
        <f>SUM(F17,J17)</f>
        <v>5000</v>
      </c>
      <c r="F17" s="822">
        <v>5000</v>
      </c>
      <c r="G17" s="822">
        <v>0</v>
      </c>
      <c r="H17" s="822">
        <v>0</v>
      </c>
      <c r="I17" s="822">
        <v>5000</v>
      </c>
      <c r="J17" s="822">
        <v>0</v>
      </c>
      <c r="K17" s="783"/>
      <c r="L17" s="783"/>
      <c r="M17" s="783"/>
      <c r="N17" s="783"/>
      <c r="O17" s="783"/>
      <c r="P17" s="783"/>
      <c r="Q17" s="783"/>
      <c r="R17" s="783"/>
      <c r="S17" s="783"/>
      <c r="T17" s="783"/>
      <c r="U17" s="783"/>
      <c r="V17" s="783"/>
      <c r="W17" s="783"/>
      <c r="X17" s="783"/>
      <c r="Y17" s="783"/>
      <c r="Z17" s="783"/>
      <c r="AA17" s="783"/>
      <c r="AB17" s="783"/>
      <c r="AC17" s="783"/>
      <c r="AD17" s="783"/>
      <c r="AE17" s="783"/>
      <c r="AF17" s="783"/>
      <c r="AG17" s="783"/>
      <c r="AH17" s="783"/>
      <c r="AI17" s="783"/>
      <c r="AJ17" s="783"/>
      <c r="AK17" s="783"/>
      <c r="AL17" s="783"/>
      <c r="AM17" s="783"/>
      <c r="AN17" s="783"/>
      <c r="AO17" s="783"/>
      <c r="AP17" s="783"/>
      <c r="AQ17" s="783"/>
      <c r="AR17" s="783"/>
      <c r="AS17" s="783"/>
      <c r="AT17" s="783"/>
      <c r="AU17" s="783"/>
      <c r="AV17" s="783"/>
      <c r="AW17" s="783"/>
      <c r="AX17" s="783"/>
      <c r="AY17" s="783"/>
      <c r="AZ17" s="783"/>
      <c r="BA17" s="783"/>
      <c r="BB17" s="783"/>
      <c r="BC17" s="783"/>
      <c r="BD17" s="783"/>
      <c r="BE17" s="783"/>
      <c r="BF17" s="783"/>
      <c r="BG17" s="783"/>
      <c r="BH17" s="783"/>
      <c r="BI17" s="783"/>
      <c r="BJ17" s="783"/>
      <c r="BK17" s="783"/>
      <c r="BL17" s="783"/>
      <c r="BM17" s="783"/>
      <c r="BN17" s="783"/>
      <c r="BO17" s="783"/>
      <c r="BP17" s="783"/>
      <c r="BQ17" s="783"/>
      <c r="BR17" s="783"/>
      <c r="BS17" s="783"/>
      <c r="BT17" s="783"/>
      <c r="BU17" s="783"/>
      <c r="BV17" s="783"/>
      <c r="BW17" s="783"/>
    </row>
    <row r="18" spans="1:75" s="780" customFormat="1" ht="17.100000000000001" customHeight="1" x14ac:dyDescent="0.2">
      <c r="A18" s="821">
        <v>853</v>
      </c>
      <c r="B18" s="821">
        <v>85311</v>
      </c>
      <c r="C18" s="821">
        <v>2320</v>
      </c>
      <c r="D18" s="824">
        <v>43021</v>
      </c>
      <c r="E18" s="824">
        <f>SUM(F18,J18)</f>
        <v>0</v>
      </c>
      <c r="F18" s="822">
        <v>0</v>
      </c>
      <c r="G18" s="824">
        <v>0</v>
      </c>
      <c r="H18" s="824">
        <v>0</v>
      </c>
      <c r="I18" s="824">
        <v>0</v>
      </c>
      <c r="J18" s="824">
        <v>0</v>
      </c>
      <c r="K18" s="783"/>
      <c r="L18" s="783"/>
      <c r="M18" s="783"/>
      <c r="N18" s="783"/>
      <c r="O18" s="783"/>
      <c r="P18" s="783"/>
      <c r="Q18" s="783"/>
      <c r="R18" s="783"/>
      <c r="S18" s="783"/>
      <c r="T18" s="783"/>
      <c r="U18" s="783"/>
      <c r="V18" s="783"/>
      <c r="W18" s="783"/>
      <c r="X18" s="783"/>
      <c r="Y18" s="783"/>
      <c r="Z18" s="783"/>
      <c r="AA18" s="783"/>
      <c r="AB18" s="783"/>
      <c r="AC18" s="783"/>
      <c r="AD18" s="783"/>
      <c r="AE18" s="783"/>
      <c r="AF18" s="783"/>
      <c r="AG18" s="783"/>
      <c r="AH18" s="783"/>
      <c r="AI18" s="783"/>
      <c r="AJ18" s="783"/>
      <c r="AK18" s="783"/>
      <c r="AL18" s="783"/>
      <c r="AM18" s="783"/>
      <c r="AN18" s="783"/>
      <c r="AO18" s="783"/>
      <c r="AP18" s="783"/>
      <c r="AQ18" s="783"/>
      <c r="AR18" s="783"/>
      <c r="AS18" s="783"/>
      <c r="AT18" s="783"/>
      <c r="AU18" s="783"/>
      <c r="AV18" s="783"/>
      <c r="AW18" s="783"/>
      <c r="AX18" s="783"/>
      <c r="AY18" s="783"/>
      <c r="AZ18" s="783"/>
      <c r="BA18" s="783"/>
      <c r="BB18" s="783"/>
      <c r="BC18" s="783"/>
      <c r="BD18" s="783"/>
      <c r="BE18" s="783"/>
      <c r="BF18" s="783"/>
      <c r="BG18" s="783"/>
      <c r="BH18" s="783"/>
      <c r="BI18" s="783"/>
      <c r="BJ18" s="783"/>
      <c r="BK18" s="783"/>
      <c r="BL18" s="783"/>
      <c r="BM18" s="783"/>
      <c r="BN18" s="783"/>
      <c r="BO18" s="783"/>
      <c r="BP18" s="783"/>
      <c r="BQ18" s="783"/>
      <c r="BR18" s="783"/>
      <c r="BS18" s="783"/>
      <c r="BT18" s="783"/>
      <c r="BU18" s="783"/>
      <c r="BV18" s="783"/>
      <c r="BW18" s="783"/>
    </row>
    <row r="19" spans="1:75" s="780" customFormat="1" ht="17.100000000000001" customHeight="1" x14ac:dyDescent="0.2">
      <c r="A19" s="821">
        <v>853</v>
      </c>
      <c r="B19" s="821">
        <v>85333</v>
      </c>
      <c r="C19" s="821">
        <v>2320</v>
      </c>
      <c r="D19" s="824">
        <v>0</v>
      </c>
      <c r="E19" s="824">
        <f>SUM(F19,J19)</f>
        <v>5090084</v>
      </c>
      <c r="F19" s="824">
        <v>5090084</v>
      </c>
      <c r="G19" s="824">
        <v>0</v>
      </c>
      <c r="H19" s="824">
        <v>0</v>
      </c>
      <c r="I19" s="824">
        <v>5090084</v>
      </c>
      <c r="J19" s="824">
        <v>0</v>
      </c>
      <c r="K19" s="783"/>
      <c r="L19" s="783"/>
      <c r="M19" s="783"/>
      <c r="N19" s="783"/>
      <c r="O19" s="783"/>
      <c r="P19" s="783"/>
      <c r="Q19" s="783"/>
      <c r="R19" s="783"/>
      <c r="S19" s="783"/>
      <c r="T19" s="783"/>
      <c r="U19" s="783"/>
      <c r="V19" s="783"/>
      <c r="W19" s="783"/>
      <c r="X19" s="783"/>
      <c r="Y19" s="783"/>
      <c r="Z19" s="783"/>
      <c r="AA19" s="783"/>
      <c r="AB19" s="783"/>
      <c r="AC19" s="783"/>
      <c r="AD19" s="783"/>
      <c r="AE19" s="783"/>
      <c r="AF19" s="783"/>
      <c r="AG19" s="783"/>
      <c r="AH19" s="783"/>
      <c r="AI19" s="783"/>
      <c r="AJ19" s="783"/>
      <c r="AK19" s="783"/>
      <c r="AL19" s="783"/>
      <c r="AM19" s="783"/>
      <c r="AN19" s="783"/>
      <c r="AO19" s="783"/>
      <c r="AP19" s="783"/>
      <c r="AQ19" s="783"/>
      <c r="AR19" s="783"/>
      <c r="AS19" s="783"/>
      <c r="AT19" s="783"/>
      <c r="AU19" s="783"/>
      <c r="AV19" s="783"/>
      <c r="AW19" s="783"/>
      <c r="AX19" s="783"/>
      <c r="AY19" s="783"/>
      <c r="AZ19" s="783"/>
      <c r="BA19" s="783"/>
      <c r="BB19" s="783"/>
      <c r="BC19" s="783"/>
      <c r="BD19" s="783"/>
      <c r="BE19" s="783"/>
      <c r="BF19" s="783"/>
      <c r="BG19" s="783"/>
      <c r="BH19" s="783"/>
      <c r="BI19" s="783"/>
      <c r="BJ19" s="783"/>
      <c r="BK19" s="783"/>
      <c r="BL19" s="783"/>
      <c r="BM19" s="783"/>
      <c r="BN19" s="783"/>
      <c r="BO19" s="783"/>
      <c r="BP19" s="783"/>
      <c r="BQ19" s="783"/>
      <c r="BR19" s="783"/>
      <c r="BS19" s="783"/>
      <c r="BT19" s="783"/>
      <c r="BU19" s="783"/>
      <c r="BV19" s="783"/>
      <c r="BW19" s="783"/>
    </row>
    <row r="20" spans="1:75" s="780" customFormat="1" ht="21" customHeight="1" x14ac:dyDescent="0.2">
      <c r="A20" s="825" t="s">
        <v>1139</v>
      </c>
      <c r="B20" s="1317"/>
      <c r="C20" s="1318"/>
      <c r="D20" s="826">
        <f t="shared" ref="D20:J20" si="0">SUM(D16:D19)</f>
        <v>43021</v>
      </c>
      <c r="E20" s="826">
        <f t="shared" si="0"/>
        <v>5595084</v>
      </c>
      <c r="F20" s="826">
        <f t="shared" si="0"/>
        <v>5595084</v>
      </c>
      <c r="G20" s="826">
        <f t="shared" si="0"/>
        <v>0</v>
      </c>
      <c r="H20" s="826">
        <f t="shared" si="0"/>
        <v>0</v>
      </c>
      <c r="I20" s="826">
        <f t="shared" si="0"/>
        <v>5595084</v>
      </c>
      <c r="J20" s="826">
        <f t="shared" si="0"/>
        <v>0</v>
      </c>
      <c r="K20" s="783"/>
      <c r="L20" s="783"/>
      <c r="M20" s="783"/>
      <c r="N20" s="783"/>
      <c r="O20" s="783"/>
      <c r="P20" s="783"/>
      <c r="Q20" s="783"/>
      <c r="R20" s="783"/>
      <c r="S20" s="783"/>
      <c r="T20" s="783"/>
      <c r="U20" s="783"/>
      <c r="V20" s="783"/>
      <c r="W20" s="783"/>
      <c r="X20" s="783"/>
      <c r="Y20" s="783"/>
      <c r="Z20" s="783"/>
      <c r="AA20" s="783"/>
      <c r="AB20" s="783"/>
      <c r="AC20" s="783"/>
      <c r="AD20" s="783"/>
      <c r="AE20" s="783"/>
      <c r="AF20" s="783"/>
      <c r="AG20" s="783"/>
      <c r="AH20" s="783"/>
      <c r="AI20" s="783"/>
      <c r="AJ20" s="783"/>
      <c r="AK20" s="783"/>
      <c r="AL20" s="783"/>
      <c r="AM20" s="783"/>
      <c r="AN20" s="783"/>
      <c r="AO20" s="783"/>
      <c r="AP20" s="783"/>
      <c r="AQ20" s="783"/>
      <c r="AR20" s="783"/>
      <c r="AS20" s="783"/>
      <c r="AT20" s="783"/>
      <c r="AU20" s="783"/>
      <c r="AV20" s="783"/>
      <c r="AW20" s="783"/>
      <c r="AX20" s="783"/>
      <c r="AY20" s="783"/>
      <c r="AZ20" s="783"/>
      <c r="BA20" s="783"/>
      <c r="BB20" s="783"/>
      <c r="BC20" s="783"/>
      <c r="BD20" s="783"/>
      <c r="BE20" s="783"/>
      <c r="BF20" s="783"/>
      <c r="BG20" s="783"/>
      <c r="BH20" s="783"/>
      <c r="BI20" s="783"/>
      <c r="BJ20" s="783"/>
      <c r="BK20" s="783"/>
      <c r="BL20" s="783"/>
      <c r="BM20" s="783"/>
      <c r="BN20" s="783"/>
      <c r="BO20" s="783"/>
      <c r="BP20" s="783"/>
      <c r="BQ20" s="783"/>
      <c r="BR20" s="783"/>
      <c r="BS20" s="783"/>
      <c r="BT20" s="783"/>
      <c r="BU20" s="783"/>
      <c r="BV20" s="783"/>
      <c r="BW20" s="783"/>
    </row>
    <row r="22" spans="1:75" x14ac:dyDescent="0.2">
      <c r="A22" s="827"/>
      <c r="G22" s="808"/>
    </row>
  </sheetData>
  <pageMargins left="0.39370078740157483" right="0.39370078740157483" top="0.74803149606299213" bottom="0.74803149606299213" header="0.31496062992125984" footer="0.31496062992125984"/>
  <pageSetup paperSize="9" scale="95" firstPageNumber="45" orientation="portrait" useFirstPageNumber="1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167E7C-B5D0-4AFC-92C7-89D2410AE216}">
  <dimension ref="A1:H64"/>
  <sheetViews>
    <sheetView zoomScale="140" zoomScaleNormal="140" workbookViewId="0">
      <selection activeCell="H24" sqref="H24"/>
    </sheetView>
  </sheetViews>
  <sheetFormatPr defaultRowHeight="12.75" x14ac:dyDescent="0.2"/>
  <cols>
    <col min="1" max="1" width="4" style="1" customWidth="1"/>
    <col min="2" max="3" width="5.7109375" style="1" customWidth="1"/>
    <col min="4" max="4" width="41.28515625" style="1" customWidth="1"/>
    <col min="5" max="5" width="13.28515625" style="1" customWidth="1"/>
    <col min="6" max="6" width="11.7109375" style="1" customWidth="1"/>
    <col min="7" max="7" width="11.42578125" style="1" customWidth="1"/>
    <col min="8" max="8" width="10" style="1" bestFit="1" customWidth="1"/>
    <col min="9" max="256" width="9.140625" style="1"/>
    <col min="257" max="257" width="4" style="1" customWidth="1"/>
    <col min="258" max="259" width="5.7109375" style="1" customWidth="1"/>
    <col min="260" max="260" width="41.28515625" style="1" customWidth="1"/>
    <col min="261" max="261" width="13.28515625" style="1" customWidth="1"/>
    <col min="262" max="262" width="11.7109375" style="1" customWidth="1"/>
    <col min="263" max="263" width="11.42578125" style="1" customWidth="1"/>
    <col min="264" max="264" width="10" style="1" bestFit="1" customWidth="1"/>
    <col min="265" max="512" width="9.140625" style="1"/>
    <col min="513" max="513" width="4" style="1" customWidth="1"/>
    <col min="514" max="515" width="5.7109375" style="1" customWidth="1"/>
    <col min="516" max="516" width="41.28515625" style="1" customWidth="1"/>
    <col min="517" max="517" width="13.28515625" style="1" customWidth="1"/>
    <col min="518" max="518" width="11.7109375" style="1" customWidth="1"/>
    <col min="519" max="519" width="11.42578125" style="1" customWidth="1"/>
    <col min="520" max="520" width="10" style="1" bestFit="1" customWidth="1"/>
    <col min="521" max="768" width="9.140625" style="1"/>
    <col min="769" max="769" width="4" style="1" customWidth="1"/>
    <col min="770" max="771" width="5.7109375" style="1" customWidth="1"/>
    <col min="772" max="772" width="41.28515625" style="1" customWidth="1"/>
    <col min="773" max="773" width="13.28515625" style="1" customWidth="1"/>
    <col min="774" max="774" width="11.7109375" style="1" customWidth="1"/>
    <col min="775" max="775" width="11.42578125" style="1" customWidth="1"/>
    <col min="776" max="776" width="10" style="1" bestFit="1" customWidth="1"/>
    <col min="777" max="1024" width="9.140625" style="1"/>
    <col min="1025" max="1025" width="4" style="1" customWidth="1"/>
    <col min="1026" max="1027" width="5.7109375" style="1" customWidth="1"/>
    <col min="1028" max="1028" width="41.28515625" style="1" customWidth="1"/>
    <col min="1029" max="1029" width="13.28515625" style="1" customWidth="1"/>
    <col min="1030" max="1030" width="11.7109375" style="1" customWidth="1"/>
    <col min="1031" max="1031" width="11.42578125" style="1" customWidth="1"/>
    <col min="1032" max="1032" width="10" style="1" bestFit="1" customWidth="1"/>
    <col min="1033" max="1280" width="9.140625" style="1"/>
    <col min="1281" max="1281" width="4" style="1" customWidth="1"/>
    <col min="1282" max="1283" width="5.7109375" style="1" customWidth="1"/>
    <col min="1284" max="1284" width="41.28515625" style="1" customWidth="1"/>
    <col min="1285" max="1285" width="13.28515625" style="1" customWidth="1"/>
    <col min="1286" max="1286" width="11.7109375" style="1" customWidth="1"/>
    <col min="1287" max="1287" width="11.42578125" style="1" customWidth="1"/>
    <col min="1288" max="1288" width="10" style="1" bestFit="1" customWidth="1"/>
    <col min="1289" max="1536" width="9.140625" style="1"/>
    <col min="1537" max="1537" width="4" style="1" customWidth="1"/>
    <col min="1538" max="1539" width="5.7109375" style="1" customWidth="1"/>
    <col min="1540" max="1540" width="41.28515625" style="1" customWidth="1"/>
    <col min="1541" max="1541" width="13.28515625" style="1" customWidth="1"/>
    <col min="1542" max="1542" width="11.7109375" style="1" customWidth="1"/>
    <col min="1543" max="1543" width="11.42578125" style="1" customWidth="1"/>
    <col min="1544" max="1544" width="10" style="1" bestFit="1" customWidth="1"/>
    <col min="1545" max="1792" width="9.140625" style="1"/>
    <col min="1793" max="1793" width="4" style="1" customWidth="1"/>
    <col min="1794" max="1795" width="5.7109375" style="1" customWidth="1"/>
    <col min="1796" max="1796" width="41.28515625" style="1" customWidth="1"/>
    <col min="1797" max="1797" width="13.28515625" style="1" customWidth="1"/>
    <col min="1798" max="1798" width="11.7109375" style="1" customWidth="1"/>
    <col min="1799" max="1799" width="11.42578125" style="1" customWidth="1"/>
    <col min="1800" max="1800" width="10" style="1" bestFit="1" customWidth="1"/>
    <col min="1801" max="2048" width="9.140625" style="1"/>
    <col min="2049" max="2049" width="4" style="1" customWidth="1"/>
    <col min="2050" max="2051" width="5.7109375" style="1" customWidth="1"/>
    <col min="2052" max="2052" width="41.28515625" style="1" customWidth="1"/>
    <col min="2053" max="2053" width="13.28515625" style="1" customWidth="1"/>
    <col min="2054" max="2054" width="11.7109375" style="1" customWidth="1"/>
    <col min="2055" max="2055" width="11.42578125" style="1" customWidth="1"/>
    <col min="2056" max="2056" width="10" style="1" bestFit="1" customWidth="1"/>
    <col min="2057" max="2304" width="9.140625" style="1"/>
    <col min="2305" max="2305" width="4" style="1" customWidth="1"/>
    <col min="2306" max="2307" width="5.7109375" style="1" customWidth="1"/>
    <col min="2308" max="2308" width="41.28515625" style="1" customWidth="1"/>
    <col min="2309" max="2309" width="13.28515625" style="1" customWidth="1"/>
    <col min="2310" max="2310" width="11.7109375" style="1" customWidth="1"/>
    <col min="2311" max="2311" width="11.42578125" style="1" customWidth="1"/>
    <col min="2312" max="2312" width="10" style="1" bestFit="1" customWidth="1"/>
    <col min="2313" max="2560" width="9.140625" style="1"/>
    <col min="2561" max="2561" width="4" style="1" customWidth="1"/>
    <col min="2562" max="2563" width="5.7109375" style="1" customWidth="1"/>
    <col min="2564" max="2564" width="41.28515625" style="1" customWidth="1"/>
    <col min="2565" max="2565" width="13.28515625" style="1" customWidth="1"/>
    <col min="2566" max="2566" width="11.7109375" style="1" customWidth="1"/>
    <col min="2567" max="2567" width="11.42578125" style="1" customWidth="1"/>
    <col min="2568" max="2568" width="10" style="1" bestFit="1" customWidth="1"/>
    <col min="2569" max="2816" width="9.140625" style="1"/>
    <col min="2817" max="2817" width="4" style="1" customWidth="1"/>
    <col min="2818" max="2819" width="5.7109375" style="1" customWidth="1"/>
    <col min="2820" max="2820" width="41.28515625" style="1" customWidth="1"/>
    <col min="2821" max="2821" width="13.28515625" style="1" customWidth="1"/>
    <col min="2822" max="2822" width="11.7109375" style="1" customWidth="1"/>
    <col min="2823" max="2823" width="11.42578125" style="1" customWidth="1"/>
    <col min="2824" max="2824" width="10" style="1" bestFit="1" customWidth="1"/>
    <col min="2825" max="3072" width="9.140625" style="1"/>
    <col min="3073" max="3073" width="4" style="1" customWidth="1"/>
    <col min="3074" max="3075" width="5.7109375" style="1" customWidth="1"/>
    <col min="3076" max="3076" width="41.28515625" style="1" customWidth="1"/>
    <col min="3077" max="3077" width="13.28515625" style="1" customWidth="1"/>
    <col min="3078" max="3078" width="11.7109375" style="1" customWidth="1"/>
    <col min="3079" max="3079" width="11.42578125" style="1" customWidth="1"/>
    <col min="3080" max="3080" width="10" style="1" bestFit="1" customWidth="1"/>
    <col min="3081" max="3328" width="9.140625" style="1"/>
    <col min="3329" max="3329" width="4" style="1" customWidth="1"/>
    <col min="3330" max="3331" width="5.7109375" style="1" customWidth="1"/>
    <col min="3332" max="3332" width="41.28515625" style="1" customWidth="1"/>
    <col min="3333" max="3333" width="13.28515625" style="1" customWidth="1"/>
    <col min="3334" max="3334" width="11.7109375" style="1" customWidth="1"/>
    <col min="3335" max="3335" width="11.42578125" style="1" customWidth="1"/>
    <col min="3336" max="3336" width="10" style="1" bestFit="1" customWidth="1"/>
    <col min="3337" max="3584" width="9.140625" style="1"/>
    <col min="3585" max="3585" width="4" style="1" customWidth="1"/>
    <col min="3586" max="3587" width="5.7109375" style="1" customWidth="1"/>
    <col min="3588" max="3588" width="41.28515625" style="1" customWidth="1"/>
    <col min="3589" max="3589" width="13.28515625" style="1" customWidth="1"/>
    <col min="3590" max="3590" width="11.7109375" style="1" customWidth="1"/>
    <col min="3591" max="3591" width="11.42578125" style="1" customWidth="1"/>
    <col min="3592" max="3592" width="10" style="1" bestFit="1" customWidth="1"/>
    <col min="3593" max="3840" width="9.140625" style="1"/>
    <col min="3841" max="3841" width="4" style="1" customWidth="1"/>
    <col min="3842" max="3843" width="5.7109375" style="1" customWidth="1"/>
    <col min="3844" max="3844" width="41.28515625" style="1" customWidth="1"/>
    <col min="3845" max="3845" width="13.28515625" style="1" customWidth="1"/>
    <col min="3846" max="3846" width="11.7109375" style="1" customWidth="1"/>
    <col min="3847" max="3847" width="11.42578125" style="1" customWidth="1"/>
    <col min="3848" max="3848" width="10" style="1" bestFit="1" customWidth="1"/>
    <col min="3849" max="4096" width="9.140625" style="1"/>
    <col min="4097" max="4097" width="4" style="1" customWidth="1"/>
    <col min="4098" max="4099" width="5.7109375" style="1" customWidth="1"/>
    <col min="4100" max="4100" width="41.28515625" style="1" customWidth="1"/>
    <col min="4101" max="4101" width="13.28515625" style="1" customWidth="1"/>
    <col min="4102" max="4102" width="11.7109375" style="1" customWidth="1"/>
    <col min="4103" max="4103" width="11.42578125" style="1" customWidth="1"/>
    <col min="4104" max="4104" width="10" style="1" bestFit="1" customWidth="1"/>
    <col min="4105" max="4352" width="9.140625" style="1"/>
    <col min="4353" max="4353" width="4" style="1" customWidth="1"/>
    <col min="4354" max="4355" width="5.7109375" style="1" customWidth="1"/>
    <col min="4356" max="4356" width="41.28515625" style="1" customWidth="1"/>
    <col min="4357" max="4357" width="13.28515625" style="1" customWidth="1"/>
    <col min="4358" max="4358" width="11.7109375" style="1" customWidth="1"/>
    <col min="4359" max="4359" width="11.42578125" style="1" customWidth="1"/>
    <col min="4360" max="4360" width="10" style="1" bestFit="1" customWidth="1"/>
    <col min="4361" max="4608" width="9.140625" style="1"/>
    <col min="4609" max="4609" width="4" style="1" customWidth="1"/>
    <col min="4610" max="4611" width="5.7109375" style="1" customWidth="1"/>
    <col min="4612" max="4612" width="41.28515625" style="1" customWidth="1"/>
    <col min="4613" max="4613" width="13.28515625" style="1" customWidth="1"/>
    <col min="4614" max="4614" width="11.7109375" style="1" customWidth="1"/>
    <col min="4615" max="4615" width="11.42578125" style="1" customWidth="1"/>
    <col min="4616" max="4616" width="10" style="1" bestFit="1" customWidth="1"/>
    <col min="4617" max="4864" width="9.140625" style="1"/>
    <col min="4865" max="4865" width="4" style="1" customWidth="1"/>
    <col min="4866" max="4867" width="5.7109375" style="1" customWidth="1"/>
    <col min="4868" max="4868" width="41.28515625" style="1" customWidth="1"/>
    <col min="4869" max="4869" width="13.28515625" style="1" customWidth="1"/>
    <col min="4870" max="4870" width="11.7109375" style="1" customWidth="1"/>
    <col min="4871" max="4871" width="11.42578125" style="1" customWidth="1"/>
    <col min="4872" max="4872" width="10" style="1" bestFit="1" customWidth="1"/>
    <col min="4873" max="5120" width="9.140625" style="1"/>
    <col min="5121" max="5121" width="4" style="1" customWidth="1"/>
    <col min="5122" max="5123" width="5.7109375" style="1" customWidth="1"/>
    <col min="5124" max="5124" width="41.28515625" style="1" customWidth="1"/>
    <col min="5125" max="5125" width="13.28515625" style="1" customWidth="1"/>
    <col min="5126" max="5126" width="11.7109375" style="1" customWidth="1"/>
    <col min="5127" max="5127" width="11.42578125" style="1" customWidth="1"/>
    <col min="5128" max="5128" width="10" style="1" bestFit="1" customWidth="1"/>
    <col min="5129" max="5376" width="9.140625" style="1"/>
    <col min="5377" max="5377" width="4" style="1" customWidth="1"/>
    <col min="5378" max="5379" width="5.7109375" style="1" customWidth="1"/>
    <col min="5380" max="5380" width="41.28515625" style="1" customWidth="1"/>
    <col min="5381" max="5381" width="13.28515625" style="1" customWidth="1"/>
    <col min="5382" max="5382" width="11.7109375" style="1" customWidth="1"/>
    <col min="5383" max="5383" width="11.42578125" style="1" customWidth="1"/>
    <col min="5384" max="5384" width="10" style="1" bestFit="1" customWidth="1"/>
    <col min="5385" max="5632" width="9.140625" style="1"/>
    <col min="5633" max="5633" width="4" style="1" customWidth="1"/>
    <col min="5634" max="5635" width="5.7109375" style="1" customWidth="1"/>
    <col min="5636" max="5636" width="41.28515625" style="1" customWidth="1"/>
    <col min="5637" max="5637" width="13.28515625" style="1" customWidth="1"/>
    <col min="5638" max="5638" width="11.7109375" style="1" customWidth="1"/>
    <col min="5639" max="5639" width="11.42578125" style="1" customWidth="1"/>
    <col min="5640" max="5640" width="10" style="1" bestFit="1" customWidth="1"/>
    <col min="5641" max="5888" width="9.140625" style="1"/>
    <col min="5889" max="5889" width="4" style="1" customWidth="1"/>
    <col min="5890" max="5891" width="5.7109375" style="1" customWidth="1"/>
    <col min="5892" max="5892" width="41.28515625" style="1" customWidth="1"/>
    <col min="5893" max="5893" width="13.28515625" style="1" customWidth="1"/>
    <col min="5894" max="5894" width="11.7109375" style="1" customWidth="1"/>
    <col min="5895" max="5895" width="11.42578125" style="1" customWidth="1"/>
    <col min="5896" max="5896" width="10" style="1" bestFit="1" customWidth="1"/>
    <col min="5897" max="6144" width="9.140625" style="1"/>
    <col min="6145" max="6145" width="4" style="1" customWidth="1"/>
    <col min="6146" max="6147" width="5.7109375" style="1" customWidth="1"/>
    <col min="6148" max="6148" width="41.28515625" style="1" customWidth="1"/>
    <col min="6149" max="6149" width="13.28515625" style="1" customWidth="1"/>
    <col min="6150" max="6150" width="11.7109375" style="1" customWidth="1"/>
    <col min="6151" max="6151" width="11.42578125" style="1" customWidth="1"/>
    <col min="6152" max="6152" width="10" style="1" bestFit="1" customWidth="1"/>
    <col min="6153" max="6400" width="9.140625" style="1"/>
    <col min="6401" max="6401" width="4" style="1" customWidth="1"/>
    <col min="6402" max="6403" width="5.7109375" style="1" customWidth="1"/>
    <col min="6404" max="6404" width="41.28515625" style="1" customWidth="1"/>
    <col min="6405" max="6405" width="13.28515625" style="1" customWidth="1"/>
    <col min="6406" max="6406" width="11.7109375" style="1" customWidth="1"/>
    <col min="6407" max="6407" width="11.42578125" style="1" customWidth="1"/>
    <col min="6408" max="6408" width="10" style="1" bestFit="1" customWidth="1"/>
    <col min="6409" max="6656" width="9.140625" style="1"/>
    <col min="6657" max="6657" width="4" style="1" customWidth="1"/>
    <col min="6658" max="6659" width="5.7109375" style="1" customWidth="1"/>
    <col min="6660" max="6660" width="41.28515625" style="1" customWidth="1"/>
    <col min="6661" max="6661" width="13.28515625" style="1" customWidth="1"/>
    <col min="6662" max="6662" width="11.7109375" style="1" customWidth="1"/>
    <col min="6663" max="6663" width="11.42578125" style="1" customWidth="1"/>
    <col min="6664" max="6664" width="10" style="1" bestFit="1" customWidth="1"/>
    <col min="6665" max="6912" width="9.140625" style="1"/>
    <col min="6913" max="6913" width="4" style="1" customWidth="1"/>
    <col min="6914" max="6915" width="5.7109375" style="1" customWidth="1"/>
    <col min="6916" max="6916" width="41.28515625" style="1" customWidth="1"/>
    <col min="6917" max="6917" width="13.28515625" style="1" customWidth="1"/>
    <col min="6918" max="6918" width="11.7109375" style="1" customWidth="1"/>
    <col min="6919" max="6919" width="11.42578125" style="1" customWidth="1"/>
    <col min="6920" max="6920" width="10" style="1" bestFit="1" customWidth="1"/>
    <col min="6921" max="7168" width="9.140625" style="1"/>
    <col min="7169" max="7169" width="4" style="1" customWidth="1"/>
    <col min="7170" max="7171" width="5.7109375" style="1" customWidth="1"/>
    <col min="7172" max="7172" width="41.28515625" style="1" customWidth="1"/>
    <col min="7173" max="7173" width="13.28515625" style="1" customWidth="1"/>
    <col min="7174" max="7174" width="11.7109375" style="1" customWidth="1"/>
    <col min="7175" max="7175" width="11.42578125" style="1" customWidth="1"/>
    <col min="7176" max="7176" width="10" style="1" bestFit="1" customWidth="1"/>
    <col min="7177" max="7424" width="9.140625" style="1"/>
    <col min="7425" max="7425" width="4" style="1" customWidth="1"/>
    <col min="7426" max="7427" width="5.7109375" style="1" customWidth="1"/>
    <col min="7428" max="7428" width="41.28515625" style="1" customWidth="1"/>
    <col min="7429" max="7429" width="13.28515625" style="1" customWidth="1"/>
    <col min="7430" max="7430" width="11.7109375" style="1" customWidth="1"/>
    <col min="7431" max="7431" width="11.42578125" style="1" customWidth="1"/>
    <col min="7432" max="7432" width="10" style="1" bestFit="1" customWidth="1"/>
    <col min="7433" max="7680" width="9.140625" style="1"/>
    <col min="7681" max="7681" width="4" style="1" customWidth="1"/>
    <col min="7682" max="7683" width="5.7109375" style="1" customWidth="1"/>
    <col min="7684" max="7684" width="41.28515625" style="1" customWidth="1"/>
    <col min="7685" max="7685" width="13.28515625" style="1" customWidth="1"/>
    <col min="7686" max="7686" width="11.7109375" style="1" customWidth="1"/>
    <col min="7687" max="7687" width="11.42578125" style="1" customWidth="1"/>
    <col min="7688" max="7688" width="10" style="1" bestFit="1" customWidth="1"/>
    <col min="7689" max="7936" width="9.140625" style="1"/>
    <col min="7937" max="7937" width="4" style="1" customWidth="1"/>
    <col min="7938" max="7939" width="5.7109375" style="1" customWidth="1"/>
    <col min="7940" max="7940" width="41.28515625" style="1" customWidth="1"/>
    <col min="7941" max="7941" width="13.28515625" style="1" customWidth="1"/>
    <col min="7942" max="7942" width="11.7109375" style="1" customWidth="1"/>
    <col min="7943" max="7943" width="11.42578125" style="1" customWidth="1"/>
    <col min="7944" max="7944" width="10" style="1" bestFit="1" customWidth="1"/>
    <col min="7945" max="8192" width="9.140625" style="1"/>
    <col min="8193" max="8193" width="4" style="1" customWidth="1"/>
    <col min="8194" max="8195" width="5.7109375" style="1" customWidth="1"/>
    <col min="8196" max="8196" width="41.28515625" style="1" customWidth="1"/>
    <col min="8197" max="8197" width="13.28515625" style="1" customWidth="1"/>
    <col min="8198" max="8198" width="11.7109375" style="1" customWidth="1"/>
    <col min="8199" max="8199" width="11.42578125" style="1" customWidth="1"/>
    <col min="8200" max="8200" width="10" style="1" bestFit="1" customWidth="1"/>
    <col min="8201" max="8448" width="9.140625" style="1"/>
    <col min="8449" max="8449" width="4" style="1" customWidth="1"/>
    <col min="8450" max="8451" width="5.7109375" style="1" customWidth="1"/>
    <col min="8452" max="8452" width="41.28515625" style="1" customWidth="1"/>
    <col min="8453" max="8453" width="13.28515625" style="1" customWidth="1"/>
    <col min="8454" max="8454" width="11.7109375" style="1" customWidth="1"/>
    <col min="8455" max="8455" width="11.42578125" style="1" customWidth="1"/>
    <col min="8456" max="8456" width="10" style="1" bestFit="1" customWidth="1"/>
    <col min="8457" max="8704" width="9.140625" style="1"/>
    <col min="8705" max="8705" width="4" style="1" customWidth="1"/>
    <col min="8706" max="8707" width="5.7109375" style="1" customWidth="1"/>
    <col min="8708" max="8708" width="41.28515625" style="1" customWidth="1"/>
    <col min="8709" max="8709" width="13.28515625" style="1" customWidth="1"/>
    <col min="8710" max="8710" width="11.7109375" style="1" customWidth="1"/>
    <col min="8711" max="8711" width="11.42578125" style="1" customWidth="1"/>
    <col min="8712" max="8712" width="10" style="1" bestFit="1" customWidth="1"/>
    <col min="8713" max="8960" width="9.140625" style="1"/>
    <col min="8961" max="8961" width="4" style="1" customWidth="1"/>
    <col min="8962" max="8963" width="5.7109375" style="1" customWidth="1"/>
    <col min="8964" max="8964" width="41.28515625" style="1" customWidth="1"/>
    <col min="8965" max="8965" width="13.28515625" style="1" customWidth="1"/>
    <col min="8966" max="8966" width="11.7109375" style="1" customWidth="1"/>
    <col min="8967" max="8967" width="11.42578125" style="1" customWidth="1"/>
    <col min="8968" max="8968" width="10" style="1" bestFit="1" customWidth="1"/>
    <col min="8969" max="9216" width="9.140625" style="1"/>
    <col min="9217" max="9217" width="4" style="1" customWidth="1"/>
    <col min="9218" max="9219" width="5.7109375" style="1" customWidth="1"/>
    <col min="9220" max="9220" width="41.28515625" style="1" customWidth="1"/>
    <col min="9221" max="9221" width="13.28515625" style="1" customWidth="1"/>
    <col min="9222" max="9222" width="11.7109375" style="1" customWidth="1"/>
    <col min="9223" max="9223" width="11.42578125" style="1" customWidth="1"/>
    <col min="9224" max="9224" width="10" style="1" bestFit="1" customWidth="1"/>
    <col min="9225" max="9472" width="9.140625" style="1"/>
    <col min="9473" max="9473" width="4" style="1" customWidth="1"/>
    <col min="9474" max="9475" width="5.7109375" style="1" customWidth="1"/>
    <col min="9476" max="9476" width="41.28515625" style="1" customWidth="1"/>
    <col min="9477" max="9477" width="13.28515625" style="1" customWidth="1"/>
    <col min="9478" max="9478" width="11.7109375" style="1" customWidth="1"/>
    <col min="9479" max="9479" width="11.42578125" style="1" customWidth="1"/>
    <col min="9480" max="9480" width="10" style="1" bestFit="1" customWidth="1"/>
    <col min="9481" max="9728" width="9.140625" style="1"/>
    <col min="9729" max="9729" width="4" style="1" customWidth="1"/>
    <col min="9730" max="9731" width="5.7109375" style="1" customWidth="1"/>
    <col min="9732" max="9732" width="41.28515625" style="1" customWidth="1"/>
    <col min="9733" max="9733" width="13.28515625" style="1" customWidth="1"/>
    <col min="9734" max="9734" width="11.7109375" style="1" customWidth="1"/>
    <col min="9735" max="9735" width="11.42578125" style="1" customWidth="1"/>
    <col min="9736" max="9736" width="10" style="1" bestFit="1" customWidth="1"/>
    <col min="9737" max="9984" width="9.140625" style="1"/>
    <col min="9985" max="9985" width="4" style="1" customWidth="1"/>
    <col min="9986" max="9987" width="5.7109375" style="1" customWidth="1"/>
    <col min="9988" max="9988" width="41.28515625" style="1" customWidth="1"/>
    <col min="9989" max="9989" width="13.28515625" style="1" customWidth="1"/>
    <col min="9990" max="9990" width="11.7109375" style="1" customWidth="1"/>
    <col min="9991" max="9991" width="11.42578125" style="1" customWidth="1"/>
    <col min="9992" max="9992" width="10" style="1" bestFit="1" customWidth="1"/>
    <col min="9993" max="10240" width="9.140625" style="1"/>
    <col min="10241" max="10241" width="4" style="1" customWidth="1"/>
    <col min="10242" max="10243" width="5.7109375" style="1" customWidth="1"/>
    <col min="10244" max="10244" width="41.28515625" style="1" customWidth="1"/>
    <col min="10245" max="10245" width="13.28515625" style="1" customWidth="1"/>
    <col min="10246" max="10246" width="11.7109375" style="1" customWidth="1"/>
    <col min="10247" max="10247" width="11.42578125" style="1" customWidth="1"/>
    <col min="10248" max="10248" width="10" style="1" bestFit="1" customWidth="1"/>
    <col min="10249" max="10496" width="9.140625" style="1"/>
    <col min="10497" max="10497" width="4" style="1" customWidth="1"/>
    <col min="10498" max="10499" width="5.7109375" style="1" customWidth="1"/>
    <col min="10500" max="10500" width="41.28515625" style="1" customWidth="1"/>
    <col min="10501" max="10501" width="13.28515625" style="1" customWidth="1"/>
    <col min="10502" max="10502" width="11.7109375" style="1" customWidth="1"/>
    <col min="10503" max="10503" width="11.42578125" style="1" customWidth="1"/>
    <col min="10504" max="10504" width="10" style="1" bestFit="1" customWidth="1"/>
    <col min="10505" max="10752" width="9.140625" style="1"/>
    <col min="10753" max="10753" width="4" style="1" customWidth="1"/>
    <col min="10754" max="10755" width="5.7109375" style="1" customWidth="1"/>
    <col min="10756" max="10756" width="41.28515625" style="1" customWidth="1"/>
    <col min="10757" max="10757" width="13.28515625" style="1" customWidth="1"/>
    <col min="10758" max="10758" width="11.7109375" style="1" customWidth="1"/>
    <col min="10759" max="10759" width="11.42578125" style="1" customWidth="1"/>
    <col min="10760" max="10760" width="10" style="1" bestFit="1" customWidth="1"/>
    <col min="10761" max="11008" width="9.140625" style="1"/>
    <col min="11009" max="11009" width="4" style="1" customWidth="1"/>
    <col min="11010" max="11011" width="5.7109375" style="1" customWidth="1"/>
    <col min="11012" max="11012" width="41.28515625" style="1" customWidth="1"/>
    <col min="11013" max="11013" width="13.28515625" style="1" customWidth="1"/>
    <col min="11014" max="11014" width="11.7109375" style="1" customWidth="1"/>
    <col min="11015" max="11015" width="11.42578125" style="1" customWidth="1"/>
    <col min="11016" max="11016" width="10" style="1" bestFit="1" customWidth="1"/>
    <col min="11017" max="11264" width="9.140625" style="1"/>
    <col min="11265" max="11265" width="4" style="1" customWidth="1"/>
    <col min="11266" max="11267" width="5.7109375" style="1" customWidth="1"/>
    <col min="11268" max="11268" width="41.28515625" style="1" customWidth="1"/>
    <col min="11269" max="11269" width="13.28515625" style="1" customWidth="1"/>
    <col min="11270" max="11270" width="11.7109375" style="1" customWidth="1"/>
    <col min="11271" max="11271" width="11.42578125" style="1" customWidth="1"/>
    <col min="11272" max="11272" width="10" style="1" bestFit="1" customWidth="1"/>
    <col min="11273" max="11520" width="9.140625" style="1"/>
    <col min="11521" max="11521" width="4" style="1" customWidth="1"/>
    <col min="11522" max="11523" width="5.7109375" style="1" customWidth="1"/>
    <col min="11524" max="11524" width="41.28515625" style="1" customWidth="1"/>
    <col min="11525" max="11525" width="13.28515625" style="1" customWidth="1"/>
    <col min="11526" max="11526" width="11.7109375" style="1" customWidth="1"/>
    <col min="11527" max="11527" width="11.42578125" style="1" customWidth="1"/>
    <col min="11528" max="11528" width="10" style="1" bestFit="1" customWidth="1"/>
    <col min="11529" max="11776" width="9.140625" style="1"/>
    <col min="11777" max="11777" width="4" style="1" customWidth="1"/>
    <col min="11778" max="11779" width="5.7109375" style="1" customWidth="1"/>
    <col min="11780" max="11780" width="41.28515625" style="1" customWidth="1"/>
    <col min="11781" max="11781" width="13.28515625" style="1" customWidth="1"/>
    <col min="11782" max="11782" width="11.7109375" style="1" customWidth="1"/>
    <col min="11783" max="11783" width="11.42578125" style="1" customWidth="1"/>
    <col min="11784" max="11784" width="10" style="1" bestFit="1" customWidth="1"/>
    <col min="11785" max="12032" width="9.140625" style="1"/>
    <col min="12033" max="12033" width="4" style="1" customWidth="1"/>
    <col min="12034" max="12035" width="5.7109375" style="1" customWidth="1"/>
    <col min="12036" max="12036" width="41.28515625" style="1" customWidth="1"/>
    <col min="12037" max="12037" width="13.28515625" style="1" customWidth="1"/>
    <col min="12038" max="12038" width="11.7109375" style="1" customWidth="1"/>
    <col min="12039" max="12039" width="11.42578125" style="1" customWidth="1"/>
    <col min="12040" max="12040" width="10" style="1" bestFit="1" customWidth="1"/>
    <col min="12041" max="12288" width="9.140625" style="1"/>
    <col min="12289" max="12289" width="4" style="1" customWidth="1"/>
    <col min="12290" max="12291" width="5.7109375" style="1" customWidth="1"/>
    <col min="12292" max="12292" width="41.28515625" style="1" customWidth="1"/>
    <col min="12293" max="12293" width="13.28515625" style="1" customWidth="1"/>
    <col min="12294" max="12294" width="11.7109375" style="1" customWidth="1"/>
    <col min="12295" max="12295" width="11.42578125" style="1" customWidth="1"/>
    <col min="12296" max="12296" width="10" style="1" bestFit="1" customWidth="1"/>
    <col min="12297" max="12544" width="9.140625" style="1"/>
    <col min="12545" max="12545" width="4" style="1" customWidth="1"/>
    <col min="12546" max="12547" width="5.7109375" style="1" customWidth="1"/>
    <col min="12548" max="12548" width="41.28515625" style="1" customWidth="1"/>
    <col min="12549" max="12549" width="13.28515625" style="1" customWidth="1"/>
    <col min="12550" max="12550" width="11.7109375" style="1" customWidth="1"/>
    <col min="12551" max="12551" width="11.42578125" style="1" customWidth="1"/>
    <col min="12552" max="12552" width="10" style="1" bestFit="1" customWidth="1"/>
    <col min="12553" max="12800" width="9.140625" style="1"/>
    <col min="12801" max="12801" width="4" style="1" customWidth="1"/>
    <col min="12802" max="12803" width="5.7109375" style="1" customWidth="1"/>
    <col min="12804" max="12804" width="41.28515625" style="1" customWidth="1"/>
    <col min="12805" max="12805" width="13.28515625" style="1" customWidth="1"/>
    <col min="12806" max="12806" width="11.7109375" style="1" customWidth="1"/>
    <col min="12807" max="12807" width="11.42578125" style="1" customWidth="1"/>
    <col min="12808" max="12808" width="10" style="1" bestFit="1" customWidth="1"/>
    <col min="12809" max="13056" width="9.140625" style="1"/>
    <col min="13057" max="13057" width="4" style="1" customWidth="1"/>
    <col min="13058" max="13059" width="5.7109375" style="1" customWidth="1"/>
    <col min="13060" max="13060" width="41.28515625" style="1" customWidth="1"/>
    <col min="13061" max="13061" width="13.28515625" style="1" customWidth="1"/>
    <col min="13062" max="13062" width="11.7109375" style="1" customWidth="1"/>
    <col min="13063" max="13063" width="11.42578125" style="1" customWidth="1"/>
    <col min="13064" max="13064" width="10" style="1" bestFit="1" customWidth="1"/>
    <col min="13065" max="13312" width="9.140625" style="1"/>
    <col min="13313" max="13313" width="4" style="1" customWidth="1"/>
    <col min="13314" max="13315" width="5.7109375" style="1" customWidth="1"/>
    <col min="13316" max="13316" width="41.28515625" style="1" customWidth="1"/>
    <col min="13317" max="13317" width="13.28515625" style="1" customWidth="1"/>
    <col min="13318" max="13318" width="11.7109375" style="1" customWidth="1"/>
    <col min="13319" max="13319" width="11.42578125" style="1" customWidth="1"/>
    <col min="13320" max="13320" width="10" style="1" bestFit="1" customWidth="1"/>
    <col min="13321" max="13568" width="9.140625" style="1"/>
    <col min="13569" max="13569" width="4" style="1" customWidth="1"/>
    <col min="13570" max="13571" width="5.7109375" style="1" customWidth="1"/>
    <col min="13572" max="13572" width="41.28515625" style="1" customWidth="1"/>
    <col min="13573" max="13573" width="13.28515625" style="1" customWidth="1"/>
    <col min="13574" max="13574" width="11.7109375" style="1" customWidth="1"/>
    <col min="13575" max="13575" width="11.42578125" style="1" customWidth="1"/>
    <col min="13576" max="13576" width="10" style="1" bestFit="1" customWidth="1"/>
    <col min="13577" max="13824" width="9.140625" style="1"/>
    <col min="13825" max="13825" width="4" style="1" customWidth="1"/>
    <col min="13826" max="13827" width="5.7109375" style="1" customWidth="1"/>
    <col min="13828" max="13828" width="41.28515625" style="1" customWidth="1"/>
    <col min="13829" max="13829" width="13.28515625" style="1" customWidth="1"/>
    <col min="13830" max="13830" width="11.7109375" style="1" customWidth="1"/>
    <col min="13831" max="13831" width="11.42578125" style="1" customWidth="1"/>
    <col min="13832" max="13832" width="10" style="1" bestFit="1" customWidth="1"/>
    <col min="13833" max="14080" width="9.140625" style="1"/>
    <col min="14081" max="14081" width="4" style="1" customWidth="1"/>
    <col min="14082" max="14083" width="5.7109375" style="1" customWidth="1"/>
    <col min="14084" max="14084" width="41.28515625" style="1" customWidth="1"/>
    <col min="14085" max="14085" width="13.28515625" style="1" customWidth="1"/>
    <col min="14086" max="14086" width="11.7109375" style="1" customWidth="1"/>
    <col min="14087" max="14087" width="11.42578125" style="1" customWidth="1"/>
    <col min="14088" max="14088" width="10" style="1" bestFit="1" customWidth="1"/>
    <col min="14089" max="14336" width="9.140625" style="1"/>
    <col min="14337" max="14337" width="4" style="1" customWidth="1"/>
    <col min="14338" max="14339" width="5.7109375" style="1" customWidth="1"/>
    <col min="14340" max="14340" width="41.28515625" style="1" customWidth="1"/>
    <col min="14341" max="14341" width="13.28515625" style="1" customWidth="1"/>
    <col min="14342" max="14342" width="11.7109375" style="1" customWidth="1"/>
    <col min="14343" max="14343" width="11.42578125" style="1" customWidth="1"/>
    <col min="14344" max="14344" width="10" style="1" bestFit="1" customWidth="1"/>
    <col min="14345" max="14592" width="9.140625" style="1"/>
    <col min="14593" max="14593" width="4" style="1" customWidth="1"/>
    <col min="14594" max="14595" width="5.7109375" style="1" customWidth="1"/>
    <col min="14596" max="14596" width="41.28515625" style="1" customWidth="1"/>
    <col min="14597" max="14597" width="13.28515625" style="1" customWidth="1"/>
    <col min="14598" max="14598" width="11.7109375" style="1" customWidth="1"/>
    <col min="14599" max="14599" width="11.42578125" style="1" customWidth="1"/>
    <col min="14600" max="14600" width="10" style="1" bestFit="1" customWidth="1"/>
    <col min="14601" max="14848" width="9.140625" style="1"/>
    <col min="14849" max="14849" width="4" style="1" customWidth="1"/>
    <col min="14850" max="14851" width="5.7109375" style="1" customWidth="1"/>
    <col min="14852" max="14852" width="41.28515625" style="1" customWidth="1"/>
    <col min="14853" max="14853" width="13.28515625" style="1" customWidth="1"/>
    <col min="14854" max="14854" width="11.7109375" style="1" customWidth="1"/>
    <col min="14855" max="14855" width="11.42578125" style="1" customWidth="1"/>
    <col min="14856" max="14856" width="10" style="1" bestFit="1" customWidth="1"/>
    <col min="14857" max="15104" width="9.140625" style="1"/>
    <col min="15105" max="15105" width="4" style="1" customWidth="1"/>
    <col min="15106" max="15107" width="5.7109375" style="1" customWidth="1"/>
    <col min="15108" max="15108" width="41.28515625" style="1" customWidth="1"/>
    <col min="15109" max="15109" width="13.28515625" style="1" customWidth="1"/>
    <col min="15110" max="15110" width="11.7109375" style="1" customWidth="1"/>
    <col min="15111" max="15111" width="11.42578125" style="1" customWidth="1"/>
    <col min="15112" max="15112" width="10" style="1" bestFit="1" customWidth="1"/>
    <col min="15113" max="15360" width="9.140625" style="1"/>
    <col min="15361" max="15361" width="4" style="1" customWidth="1"/>
    <col min="15362" max="15363" width="5.7109375" style="1" customWidth="1"/>
    <col min="15364" max="15364" width="41.28515625" style="1" customWidth="1"/>
    <col min="15365" max="15365" width="13.28515625" style="1" customWidth="1"/>
    <col min="15366" max="15366" width="11.7109375" style="1" customWidth="1"/>
    <col min="15367" max="15367" width="11.42578125" style="1" customWidth="1"/>
    <col min="15368" max="15368" width="10" style="1" bestFit="1" customWidth="1"/>
    <col min="15369" max="15616" width="9.140625" style="1"/>
    <col min="15617" max="15617" width="4" style="1" customWidth="1"/>
    <col min="15618" max="15619" width="5.7109375" style="1" customWidth="1"/>
    <col min="15620" max="15620" width="41.28515625" style="1" customWidth="1"/>
    <col min="15621" max="15621" width="13.28515625" style="1" customWidth="1"/>
    <col min="15622" max="15622" width="11.7109375" style="1" customWidth="1"/>
    <col min="15623" max="15623" width="11.42578125" style="1" customWidth="1"/>
    <col min="15624" max="15624" width="10" style="1" bestFit="1" customWidth="1"/>
    <col min="15625" max="15872" width="9.140625" style="1"/>
    <col min="15873" max="15873" width="4" style="1" customWidth="1"/>
    <col min="15874" max="15875" width="5.7109375" style="1" customWidth="1"/>
    <col min="15876" max="15876" width="41.28515625" style="1" customWidth="1"/>
    <col min="15877" max="15877" width="13.28515625" style="1" customWidth="1"/>
    <col min="15878" max="15878" width="11.7109375" style="1" customWidth="1"/>
    <col min="15879" max="15879" width="11.42578125" style="1" customWidth="1"/>
    <col min="15880" max="15880" width="10" style="1" bestFit="1" customWidth="1"/>
    <col min="15881" max="16128" width="9.140625" style="1"/>
    <col min="16129" max="16129" width="4" style="1" customWidth="1"/>
    <col min="16130" max="16131" width="5.7109375" style="1" customWidth="1"/>
    <col min="16132" max="16132" width="41.28515625" style="1" customWidth="1"/>
    <col min="16133" max="16133" width="13.28515625" style="1" customWidth="1"/>
    <col min="16134" max="16134" width="11.7109375" style="1" customWidth="1"/>
    <col min="16135" max="16135" width="11.42578125" style="1" customWidth="1"/>
    <col min="16136" max="16136" width="10" style="1" bestFit="1" customWidth="1"/>
    <col min="16137" max="16384" width="9.140625" style="1"/>
  </cols>
  <sheetData>
    <row r="1" spans="1:8" x14ac:dyDescent="0.2">
      <c r="E1" s="33"/>
      <c r="F1" s="94" t="s">
        <v>1147</v>
      </c>
    </row>
    <row r="2" spans="1:8" x14ac:dyDescent="0.2">
      <c r="E2" s="33"/>
      <c r="F2" s="94" t="s">
        <v>80</v>
      </c>
    </row>
    <row r="3" spans="1:8" x14ac:dyDescent="0.2">
      <c r="E3" s="33"/>
      <c r="F3" s="94" t="s">
        <v>81</v>
      </c>
    </row>
    <row r="4" spans="1:8" x14ac:dyDescent="0.2">
      <c r="E4" s="33"/>
      <c r="F4" s="94" t="s">
        <v>82</v>
      </c>
    </row>
    <row r="5" spans="1:8" ht="15" customHeight="1" x14ac:dyDescent="0.2">
      <c r="E5" s="5"/>
    </row>
    <row r="6" spans="1:8" ht="15" x14ac:dyDescent="0.25">
      <c r="A6" s="828" t="s">
        <v>1148</v>
      </c>
      <c r="B6" s="339"/>
      <c r="C6" s="339"/>
      <c r="D6" s="339"/>
      <c r="E6" s="829"/>
      <c r="F6" s="829"/>
      <c r="G6" s="339"/>
    </row>
    <row r="7" spans="1:8" ht="15" x14ac:dyDescent="0.25">
      <c r="A7" s="828" t="s">
        <v>1149</v>
      </c>
      <c r="B7" s="339"/>
      <c r="C7" s="339"/>
      <c r="D7" s="339"/>
      <c r="E7" s="829"/>
      <c r="F7" s="829"/>
      <c r="G7" s="339"/>
    </row>
    <row r="8" spans="1:8" ht="9.75" customHeight="1" x14ac:dyDescent="0.2">
      <c r="E8" s="33"/>
      <c r="F8" s="33"/>
    </row>
    <row r="9" spans="1:8" ht="15.75" customHeight="1" x14ac:dyDescent="0.2">
      <c r="G9" s="35" t="s">
        <v>2</v>
      </c>
    </row>
    <row r="10" spans="1:8" x14ac:dyDescent="0.2">
      <c r="A10" s="1238"/>
      <c r="B10" s="1238"/>
      <c r="C10" s="1238"/>
      <c r="D10" s="1238"/>
      <c r="E10" s="1239"/>
      <c r="F10" s="1240" t="s">
        <v>538</v>
      </c>
      <c r="G10" s="1242"/>
    </row>
    <row r="11" spans="1:8" x14ac:dyDescent="0.2">
      <c r="A11" s="373"/>
      <c r="B11" s="373"/>
      <c r="C11" s="373"/>
      <c r="D11" s="373"/>
      <c r="E11" s="373" t="s">
        <v>1150</v>
      </c>
      <c r="F11" s="373" t="s">
        <v>1151</v>
      </c>
      <c r="G11" s="373" t="s">
        <v>1151</v>
      </c>
    </row>
    <row r="12" spans="1:8" x14ac:dyDescent="0.2">
      <c r="A12" s="373" t="s">
        <v>6</v>
      </c>
      <c r="B12" s="373" t="s">
        <v>86</v>
      </c>
      <c r="C12" s="373" t="s">
        <v>91</v>
      </c>
      <c r="D12" s="373" t="s">
        <v>1070</v>
      </c>
      <c r="E12" s="373" t="s">
        <v>10</v>
      </c>
      <c r="F12" s="373" t="s">
        <v>1152</v>
      </c>
      <c r="G12" s="373" t="s">
        <v>1153</v>
      </c>
    </row>
    <row r="13" spans="1:8" ht="12.75" customHeight="1" x14ac:dyDescent="0.2">
      <c r="A13" s="282"/>
      <c r="B13" s="282"/>
      <c r="C13" s="282"/>
      <c r="D13" s="282"/>
      <c r="E13" s="835"/>
      <c r="F13" s="835" t="s">
        <v>1154</v>
      </c>
      <c r="G13" s="835" t="s">
        <v>1155</v>
      </c>
    </row>
    <row r="14" spans="1:8" s="831" customFormat="1" ht="9.75" customHeight="1" x14ac:dyDescent="0.15">
      <c r="A14" s="830">
        <v>1</v>
      </c>
      <c r="B14" s="830">
        <v>2</v>
      </c>
      <c r="C14" s="830">
        <v>3</v>
      </c>
      <c r="D14" s="830">
        <v>4</v>
      </c>
      <c r="E14" s="830">
        <v>5</v>
      </c>
      <c r="F14" s="830">
        <v>6</v>
      </c>
      <c r="G14" s="830">
        <v>7</v>
      </c>
    </row>
    <row r="15" spans="1:8" ht="12.75" customHeight="1" x14ac:dyDescent="0.2">
      <c r="A15" s="342">
        <v>700</v>
      </c>
      <c r="B15" s="342"/>
      <c r="C15" s="230"/>
      <c r="D15" s="363" t="s">
        <v>29</v>
      </c>
      <c r="E15" s="247"/>
      <c r="F15" s="247"/>
      <c r="G15" s="247"/>
    </row>
    <row r="16" spans="1:8" ht="12.75" customHeight="1" thickBot="1" x14ac:dyDescent="0.25">
      <c r="A16" s="832"/>
      <c r="B16" s="832">
        <v>70005</v>
      </c>
      <c r="C16" s="1319"/>
      <c r="D16" s="232" t="s">
        <v>177</v>
      </c>
      <c r="E16" s="355">
        <f>SUM(E17:E30)</f>
        <v>5499000</v>
      </c>
      <c r="F16" s="355">
        <f>SUM(F17:F30)</f>
        <v>4133750</v>
      </c>
      <c r="G16" s="355">
        <f>SUM(G17:G30)</f>
        <v>1365250</v>
      </c>
      <c r="H16" s="383"/>
    </row>
    <row r="17" spans="1:7" ht="12.75" customHeight="1" thickTop="1" x14ac:dyDescent="0.2">
      <c r="A17" s="373"/>
      <c r="B17" s="373"/>
      <c r="C17" s="164" t="s">
        <v>178</v>
      </c>
      <c r="D17" s="165" t="s">
        <v>1156</v>
      </c>
      <c r="E17" s="247">
        <f>SUM(F17:G17)</f>
        <v>50250</v>
      </c>
      <c r="F17" s="247">
        <v>37687.5</v>
      </c>
      <c r="G17" s="247">
        <v>12562.5</v>
      </c>
    </row>
    <row r="18" spans="1:7" ht="12.75" customHeight="1" x14ac:dyDescent="0.2">
      <c r="A18" s="373"/>
      <c r="B18" s="373"/>
      <c r="C18" s="164" t="s">
        <v>181</v>
      </c>
      <c r="D18" s="165" t="s">
        <v>182</v>
      </c>
      <c r="E18" s="247"/>
      <c r="F18" s="247"/>
      <c r="G18" s="247"/>
    </row>
    <row r="19" spans="1:7" ht="12.75" customHeight="1" x14ac:dyDescent="0.2">
      <c r="A19" s="373"/>
      <c r="B19" s="373"/>
      <c r="C19" s="164"/>
      <c r="D19" s="165" t="s">
        <v>183</v>
      </c>
      <c r="E19" s="247">
        <f>SUM(F19:G19)</f>
        <v>5250000</v>
      </c>
      <c r="F19" s="247">
        <v>3937500</v>
      </c>
      <c r="G19" s="247">
        <v>1312500</v>
      </c>
    </row>
    <row r="20" spans="1:7" ht="12.75" customHeight="1" x14ac:dyDescent="0.2">
      <c r="A20" s="373"/>
      <c r="B20" s="373"/>
      <c r="C20" s="164" t="s">
        <v>99</v>
      </c>
      <c r="D20" s="165" t="s">
        <v>172</v>
      </c>
      <c r="E20" s="247"/>
      <c r="F20" s="247"/>
      <c r="G20" s="247"/>
    </row>
    <row r="21" spans="1:7" ht="12.75" customHeight="1" x14ac:dyDescent="0.2">
      <c r="A21" s="373"/>
      <c r="B21" s="373"/>
      <c r="C21" s="164"/>
      <c r="D21" s="165" t="s">
        <v>173</v>
      </c>
      <c r="E21" s="247"/>
      <c r="F21" s="247"/>
      <c r="G21" s="247"/>
    </row>
    <row r="22" spans="1:7" ht="12.75" customHeight="1" x14ac:dyDescent="0.2">
      <c r="A22" s="373"/>
      <c r="B22" s="373"/>
      <c r="C22" s="164"/>
      <c r="D22" s="165" t="s">
        <v>174</v>
      </c>
      <c r="E22" s="247"/>
      <c r="F22" s="247"/>
      <c r="G22" s="247"/>
    </row>
    <row r="23" spans="1:7" ht="12.75" customHeight="1" x14ac:dyDescent="0.2">
      <c r="A23" s="373"/>
      <c r="B23" s="373"/>
      <c r="C23" s="164"/>
      <c r="D23" s="165" t="s">
        <v>175</v>
      </c>
      <c r="E23" s="247">
        <f>SUM(F23:G23)</f>
        <v>25250</v>
      </c>
      <c r="F23" s="247">
        <v>18937.5</v>
      </c>
      <c r="G23" s="247">
        <v>6312.5</v>
      </c>
    </row>
    <row r="24" spans="1:7" ht="12.75" customHeight="1" x14ac:dyDescent="0.2">
      <c r="A24" s="373"/>
      <c r="B24" s="373"/>
      <c r="C24" s="164" t="s">
        <v>184</v>
      </c>
      <c r="D24" s="165" t="s">
        <v>1157</v>
      </c>
      <c r="E24" s="247"/>
      <c r="F24" s="247"/>
      <c r="G24" s="247"/>
    </row>
    <row r="25" spans="1:7" ht="12.75" customHeight="1" x14ac:dyDescent="0.2">
      <c r="A25" s="373"/>
      <c r="B25" s="373"/>
      <c r="C25" s="164"/>
      <c r="D25" s="165" t="s">
        <v>1158</v>
      </c>
      <c r="E25" s="247"/>
      <c r="F25" s="247"/>
      <c r="G25" s="247"/>
    </row>
    <row r="26" spans="1:7" ht="12.75" customHeight="1" x14ac:dyDescent="0.2">
      <c r="A26" s="373"/>
      <c r="B26" s="373"/>
      <c r="C26" s="164"/>
      <c r="D26" s="165" t="s">
        <v>1159</v>
      </c>
      <c r="E26" s="247">
        <f>SUM(F26:G26)</f>
        <v>45000</v>
      </c>
      <c r="F26" s="247">
        <v>33750</v>
      </c>
      <c r="G26" s="256">
        <v>11250</v>
      </c>
    </row>
    <row r="27" spans="1:7" ht="12.75" customHeight="1" x14ac:dyDescent="0.2">
      <c r="A27" s="373"/>
      <c r="B27" s="373"/>
      <c r="C27" s="164" t="s">
        <v>187</v>
      </c>
      <c r="D27" s="165" t="s">
        <v>1160</v>
      </c>
      <c r="E27" s="247"/>
      <c r="F27" s="247"/>
      <c r="G27" s="1257"/>
    </row>
    <row r="28" spans="1:7" ht="12.75" customHeight="1" x14ac:dyDescent="0.2">
      <c r="A28" s="373"/>
      <c r="B28" s="373"/>
      <c r="C28" s="164"/>
      <c r="D28" s="165" t="s">
        <v>1161</v>
      </c>
      <c r="E28" s="247">
        <f>SUM(F28:G28)</f>
        <v>51000</v>
      </c>
      <c r="F28" s="247">
        <v>38250</v>
      </c>
      <c r="G28" s="247">
        <v>12750</v>
      </c>
    </row>
    <row r="29" spans="1:7" ht="12.75" customHeight="1" x14ac:dyDescent="0.2">
      <c r="A29" s="373"/>
      <c r="B29" s="373"/>
      <c r="C29" s="164" t="s">
        <v>115</v>
      </c>
      <c r="D29" s="165" t="s">
        <v>116</v>
      </c>
      <c r="E29" s="247">
        <f>SUM(F29:G29)</f>
        <v>30000</v>
      </c>
      <c r="F29" s="247">
        <v>22500</v>
      </c>
      <c r="G29" s="247">
        <v>7500</v>
      </c>
    </row>
    <row r="30" spans="1:7" ht="12.75" customHeight="1" x14ac:dyDescent="0.2">
      <c r="A30" s="373"/>
      <c r="B30" s="373"/>
      <c r="C30" s="164" t="s">
        <v>121</v>
      </c>
      <c r="D30" s="165" t="s">
        <v>122</v>
      </c>
      <c r="E30" s="247">
        <f>SUM(F30:G30)</f>
        <v>47500</v>
      </c>
      <c r="F30" s="247">
        <v>45125</v>
      </c>
      <c r="G30" s="247">
        <v>2375</v>
      </c>
    </row>
    <row r="31" spans="1:7" ht="12.75" customHeight="1" x14ac:dyDescent="0.2">
      <c r="A31" s="342">
        <v>710</v>
      </c>
      <c r="B31" s="342"/>
      <c r="C31" s="1320"/>
      <c r="D31" s="363" t="s">
        <v>31</v>
      </c>
      <c r="E31" s="247"/>
      <c r="F31" s="247"/>
      <c r="G31" s="247"/>
    </row>
    <row r="32" spans="1:7" ht="12.75" customHeight="1" thickBot="1" x14ac:dyDescent="0.25">
      <c r="A32" s="832"/>
      <c r="B32" s="832">
        <v>71015</v>
      </c>
      <c r="C32" s="833"/>
      <c r="D32" s="232" t="s">
        <v>1162</v>
      </c>
      <c r="E32" s="355">
        <f>SUM(E34:E34)</f>
        <v>7400</v>
      </c>
      <c r="F32" s="355">
        <f>SUM(F34:F34)</f>
        <v>7030</v>
      </c>
      <c r="G32" s="355">
        <f>SUM(G34:G34)</f>
        <v>370</v>
      </c>
    </row>
    <row r="33" spans="1:7" ht="12.75" customHeight="1" thickTop="1" x14ac:dyDescent="0.2">
      <c r="A33" s="373"/>
      <c r="B33" s="373"/>
      <c r="C33" s="164" t="s">
        <v>247</v>
      </c>
      <c r="D33" s="165" t="s">
        <v>248</v>
      </c>
      <c r="E33" s="362"/>
      <c r="F33" s="362"/>
      <c r="G33" s="362"/>
    </row>
    <row r="34" spans="1:7" ht="12.75" customHeight="1" x14ac:dyDescent="0.2">
      <c r="A34" s="373"/>
      <c r="B34" s="373"/>
      <c r="C34" s="164"/>
      <c r="D34" s="165" t="s">
        <v>501</v>
      </c>
      <c r="E34" s="247">
        <f>SUM(F34:G34)</f>
        <v>7400</v>
      </c>
      <c r="F34" s="247">
        <v>7030</v>
      </c>
      <c r="G34" s="247">
        <v>370</v>
      </c>
    </row>
    <row r="35" spans="1:7" ht="12.75" customHeight="1" x14ac:dyDescent="0.2">
      <c r="A35" s="342">
        <v>750</v>
      </c>
      <c r="B35" s="342"/>
      <c r="C35" s="1320"/>
      <c r="D35" s="363" t="s">
        <v>33</v>
      </c>
      <c r="E35" s="247"/>
      <c r="F35" s="247"/>
      <c r="G35" s="247"/>
    </row>
    <row r="36" spans="1:7" ht="12.75" customHeight="1" thickBot="1" x14ac:dyDescent="0.25">
      <c r="A36" s="832"/>
      <c r="B36" s="832">
        <v>75011</v>
      </c>
      <c r="C36" s="833"/>
      <c r="D36" s="232" t="s">
        <v>225</v>
      </c>
      <c r="E36" s="355">
        <f>SUM(E37)</f>
        <v>30000</v>
      </c>
      <c r="F36" s="355">
        <f>SUM(F37)</f>
        <v>28500</v>
      </c>
      <c r="G36" s="355">
        <f>SUM(G37)</f>
        <v>1500</v>
      </c>
    </row>
    <row r="37" spans="1:7" ht="12.75" customHeight="1" thickTop="1" x14ac:dyDescent="0.2">
      <c r="A37" s="373"/>
      <c r="B37" s="373"/>
      <c r="C37" s="164" t="s">
        <v>97</v>
      </c>
      <c r="D37" s="165" t="s">
        <v>1163</v>
      </c>
      <c r="E37" s="247">
        <f>SUM(F37:G37)</f>
        <v>30000</v>
      </c>
      <c r="F37" s="247">
        <v>28500</v>
      </c>
      <c r="G37" s="256">
        <v>1500</v>
      </c>
    </row>
    <row r="38" spans="1:7" ht="12.75" customHeight="1" x14ac:dyDescent="0.2">
      <c r="A38" s="342">
        <v>754</v>
      </c>
      <c r="B38" s="342"/>
      <c r="C38" s="1320"/>
      <c r="D38" s="363" t="s">
        <v>533</v>
      </c>
      <c r="E38" s="247"/>
      <c r="F38" s="247"/>
      <c r="G38" s="247"/>
    </row>
    <row r="39" spans="1:7" ht="12.75" customHeight="1" thickBot="1" x14ac:dyDescent="0.25">
      <c r="A39" s="832"/>
      <c r="B39" s="832">
        <v>75411</v>
      </c>
      <c r="C39" s="833"/>
      <c r="D39" s="232" t="s">
        <v>443</v>
      </c>
      <c r="E39" s="355">
        <f>SUM(E40:E42)</f>
        <v>22000</v>
      </c>
      <c r="F39" s="355">
        <f>SUM(F40:F42)</f>
        <v>20900</v>
      </c>
      <c r="G39" s="355">
        <f>SUM(G40:G42)</f>
        <v>1100</v>
      </c>
    </row>
    <row r="40" spans="1:7" ht="12.75" customHeight="1" thickTop="1" x14ac:dyDescent="0.2">
      <c r="A40" s="373"/>
      <c r="B40" s="373"/>
      <c r="C40" s="164" t="s">
        <v>106</v>
      </c>
      <c r="D40" s="165" t="s">
        <v>107</v>
      </c>
      <c r="E40" s="247">
        <f>SUM(F40:G40)</f>
        <v>1000</v>
      </c>
      <c r="F40" s="247">
        <v>950</v>
      </c>
      <c r="G40" s="256">
        <v>50</v>
      </c>
    </row>
    <row r="41" spans="1:7" ht="12.75" customHeight="1" x14ac:dyDescent="0.2">
      <c r="A41" s="373"/>
      <c r="B41" s="373"/>
      <c r="C41" s="164" t="s">
        <v>117</v>
      </c>
      <c r="D41" s="371" t="s">
        <v>118</v>
      </c>
      <c r="E41" s="247">
        <f>SUM(F41:G41)</f>
        <v>15000</v>
      </c>
      <c r="F41" s="247">
        <v>14250</v>
      </c>
      <c r="G41" s="256">
        <v>750</v>
      </c>
    </row>
    <row r="42" spans="1:7" ht="12.75" customHeight="1" x14ac:dyDescent="0.2">
      <c r="A42" s="373"/>
      <c r="B42" s="373"/>
      <c r="C42" s="164" t="s">
        <v>121</v>
      </c>
      <c r="D42" s="165" t="s">
        <v>122</v>
      </c>
      <c r="E42" s="247">
        <f>SUM(F42:G42)</f>
        <v>6000</v>
      </c>
      <c r="F42" s="247">
        <v>5700</v>
      </c>
      <c r="G42" s="256">
        <v>300</v>
      </c>
    </row>
    <row r="43" spans="1:7" s="834" customFormat="1" ht="12.75" customHeight="1" thickBot="1" x14ac:dyDescent="0.25">
      <c r="A43" s="1321">
        <v>852</v>
      </c>
      <c r="B43" s="1321"/>
      <c r="C43" s="1322"/>
      <c r="D43" s="1255" t="s">
        <v>55</v>
      </c>
      <c r="E43" s="355">
        <f t="shared" ref="E43:G44" si="0">SUM(E44)</f>
        <v>333520</v>
      </c>
      <c r="F43" s="355">
        <f t="shared" si="0"/>
        <v>316844</v>
      </c>
      <c r="G43" s="355">
        <f t="shared" si="0"/>
        <v>16676</v>
      </c>
    </row>
    <row r="44" spans="1:7" ht="12.75" customHeight="1" thickTop="1" x14ac:dyDescent="0.2">
      <c r="A44" s="373"/>
      <c r="B44" s="835">
        <v>85228</v>
      </c>
      <c r="C44" s="223"/>
      <c r="D44" s="282" t="s">
        <v>363</v>
      </c>
      <c r="E44" s="245">
        <f t="shared" si="0"/>
        <v>333520</v>
      </c>
      <c r="F44" s="245">
        <f t="shared" si="0"/>
        <v>316844</v>
      </c>
      <c r="G44" s="245">
        <f t="shared" si="0"/>
        <v>16676</v>
      </c>
    </row>
    <row r="45" spans="1:7" ht="12.75" customHeight="1" x14ac:dyDescent="0.2">
      <c r="A45" s="373"/>
      <c r="B45" s="373"/>
      <c r="C45" s="164" t="s">
        <v>113</v>
      </c>
      <c r="D45" s="165" t="s">
        <v>495</v>
      </c>
      <c r="E45" s="247">
        <f>SUM(F45:G45)</f>
        <v>333520</v>
      </c>
      <c r="F45" s="247">
        <v>316844</v>
      </c>
      <c r="G45" s="256">
        <v>16676</v>
      </c>
    </row>
    <row r="46" spans="1:7" ht="12.75" customHeight="1" thickBot="1" x14ac:dyDescent="0.25">
      <c r="A46" s="1321">
        <v>853</v>
      </c>
      <c r="B46" s="1321"/>
      <c r="C46" s="1322"/>
      <c r="D46" s="1255" t="s">
        <v>57</v>
      </c>
      <c r="E46" s="355">
        <f t="shared" ref="E46:G47" si="1">SUM(E47)</f>
        <v>13000</v>
      </c>
      <c r="F46" s="355">
        <f t="shared" si="1"/>
        <v>12350</v>
      </c>
      <c r="G46" s="355">
        <f t="shared" si="1"/>
        <v>650</v>
      </c>
    </row>
    <row r="47" spans="1:7" ht="12.75" customHeight="1" thickTop="1" x14ac:dyDescent="0.2">
      <c r="A47" s="373"/>
      <c r="B47" s="1323">
        <v>85321</v>
      </c>
      <c r="C47" s="1324"/>
      <c r="D47" s="374" t="s">
        <v>481</v>
      </c>
      <c r="E47" s="352">
        <f t="shared" si="1"/>
        <v>13000</v>
      </c>
      <c r="F47" s="352">
        <f t="shared" si="1"/>
        <v>12350</v>
      </c>
      <c r="G47" s="352">
        <f t="shared" si="1"/>
        <v>650</v>
      </c>
    </row>
    <row r="48" spans="1:7" ht="12.75" customHeight="1" x14ac:dyDescent="0.2">
      <c r="A48" s="373"/>
      <c r="B48" s="373"/>
      <c r="C48" s="164" t="s">
        <v>97</v>
      </c>
      <c r="D48" s="165" t="s">
        <v>1163</v>
      </c>
      <c r="E48" s="247">
        <f>SUM(F48:G48)</f>
        <v>13000</v>
      </c>
      <c r="F48" s="247">
        <v>12350</v>
      </c>
      <c r="G48" s="247">
        <v>650</v>
      </c>
    </row>
    <row r="49" spans="1:8" ht="12.75" customHeight="1" thickBot="1" x14ac:dyDescent="0.25">
      <c r="A49" s="1321">
        <v>855</v>
      </c>
      <c r="B49" s="1321"/>
      <c r="C49" s="1322"/>
      <c r="D49" s="1255" t="s">
        <v>61</v>
      </c>
      <c r="E49" s="355">
        <f>SUM(E52)</f>
        <v>2616701</v>
      </c>
      <c r="F49" s="355">
        <f>SUM(F52)</f>
        <v>2185348</v>
      </c>
      <c r="G49" s="355">
        <f>SUM(G52)</f>
        <v>431353</v>
      </c>
    </row>
    <row r="50" spans="1:8" ht="12.75" customHeight="1" thickTop="1" x14ac:dyDescent="0.2">
      <c r="A50" s="373"/>
      <c r="B50" s="373">
        <v>85502</v>
      </c>
      <c r="C50" s="164"/>
      <c r="D50" s="165" t="s">
        <v>633</v>
      </c>
      <c r="E50" s="247"/>
      <c r="F50" s="247"/>
      <c r="G50" s="256"/>
    </row>
    <row r="51" spans="1:8" ht="12.75" customHeight="1" x14ac:dyDescent="0.2">
      <c r="A51" s="373"/>
      <c r="B51" s="373"/>
      <c r="C51" s="164"/>
      <c r="D51" s="165" t="s">
        <v>1164</v>
      </c>
      <c r="E51" s="247"/>
      <c r="F51" s="247"/>
      <c r="G51" s="256"/>
    </row>
    <row r="52" spans="1:8" ht="12.75" customHeight="1" x14ac:dyDescent="0.2">
      <c r="A52" s="373"/>
      <c r="B52" s="835"/>
      <c r="C52" s="836"/>
      <c r="D52" s="282" t="s">
        <v>1165</v>
      </c>
      <c r="E52" s="245">
        <f>SUM(E53:E56)</f>
        <v>2616701</v>
      </c>
      <c r="F52" s="245">
        <f>SUM(F53:F56)</f>
        <v>2185348</v>
      </c>
      <c r="G52" s="245">
        <f>SUM(G53:G56)</f>
        <v>431353</v>
      </c>
    </row>
    <row r="53" spans="1:8" ht="12.75" customHeight="1" x14ac:dyDescent="0.2">
      <c r="A53" s="373"/>
      <c r="B53" s="373"/>
      <c r="C53" s="164" t="s">
        <v>115</v>
      </c>
      <c r="D53" s="165" t="s">
        <v>116</v>
      </c>
      <c r="E53" s="247">
        <f>SUM(F53:G53)</f>
        <v>1571173</v>
      </c>
      <c r="F53" s="247">
        <v>1571173</v>
      </c>
      <c r="G53" s="256">
        <v>0</v>
      </c>
    </row>
    <row r="54" spans="1:8" ht="12.75" customHeight="1" x14ac:dyDescent="0.2">
      <c r="A54" s="373"/>
      <c r="B54" s="373"/>
      <c r="C54" s="164" t="s">
        <v>117</v>
      </c>
      <c r="D54" s="371" t="s">
        <v>118</v>
      </c>
      <c r="E54" s="247">
        <f>SUM(F54:G54)</f>
        <v>131416</v>
      </c>
      <c r="F54" s="247">
        <v>65708</v>
      </c>
      <c r="G54" s="256">
        <v>65708</v>
      </c>
    </row>
    <row r="55" spans="1:8" ht="12.75" customHeight="1" x14ac:dyDescent="0.2">
      <c r="A55" s="373"/>
      <c r="B55" s="373"/>
      <c r="C55" s="164" t="s">
        <v>1166</v>
      </c>
      <c r="D55" s="165" t="s">
        <v>1167</v>
      </c>
      <c r="E55" s="247"/>
      <c r="F55" s="247"/>
      <c r="G55" s="256"/>
    </row>
    <row r="56" spans="1:8" ht="12.75" customHeight="1" x14ac:dyDescent="0.2">
      <c r="A56" s="373"/>
      <c r="B56" s="373"/>
      <c r="C56" s="164"/>
      <c r="D56" s="165" t="s">
        <v>1168</v>
      </c>
      <c r="E56" s="247">
        <f>SUM(F56:G56)</f>
        <v>914112</v>
      </c>
      <c r="F56" s="247">
        <v>548467</v>
      </c>
      <c r="G56" s="256">
        <v>365645</v>
      </c>
    </row>
    <row r="57" spans="1:8" ht="2.25" customHeight="1" x14ac:dyDescent="0.2">
      <c r="A57" s="835"/>
      <c r="B57" s="835"/>
      <c r="C57" s="207"/>
      <c r="D57" s="282"/>
      <c r="E57" s="245"/>
      <c r="F57" s="245"/>
      <c r="G57" s="245"/>
    </row>
    <row r="58" spans="1:8" ht="3.75" customHeight="1" x14ac:dyDescent="0.2">
      <c r="A58" s="1268"/>
      <c r="B58" s="1325"/>
      <c r="C58" s="1326"/>
      <c r="D58" s="1327"/>
      <c r="E58" s="246"/>
      <c r="F58" s="246"/>
      <c r="G58" s="246"/>
    </row>
    <row r="59" spans="1:8" ht="12.75" customHeight="1" x14ac:dyDescent="0.2">
      <c r="A59" s="1270"/>
      <c r="B59" s="719"/>
      <c r="C59" s="1328"/>
      <c r="D59" s="1329" t="s">
        <v>68</v>
      </c>
      <c r="E59" s="362">
        <f>SUM(E16,E32,E36,E39,E43,E46,E49)</f>
        <v>8521621</v>
      </c>
      <c r="F59" s="362">
        <f>SUM(F16,F32,F36,F39,F43,F46,F49)</f>
        <v>6704722</v>
      </c>
      <c r="G59" s="362">
        <f>SUM(G16,G32,G36,G39,G43,G46,G49)</f>
        <v>1816899</v>
      </c>
    </row>
    <row r="60" spans="1:8" ht="4.5" customHeight="1" x14ac:dyDescent="0.2">
      <c r="A60" s="1267"/>
      <c r="B60" s="1330"/>
      <c r="C60" s="1331"/>
      <c r="D60" s="1332"/>
      <c r="E60" s="245"/>
      <c r="F60" s="245"/>
      <c r="G60" s="245"/>
    </row>
    <row r="61" spans="1:8" ht="12.75" customHeight="1" x14ac:dyDescent="0.2">
      <c r="A61" s="719"/>
      <c r="B61" s="719"/>
      <c r="C61" s="719"/>
      <c r="D61" s="336"/>
      <c r="E61" s="1333"/>
      <c r="F61" s="1333"/>
      <c r="G61" s="1333"/>
    </row>
    <row r="62" spans="1:8" ht="12.75" customHeight="1" x14ac:dyDescent="0.2">
      <c r="A62" s="35"/>
      <c r="B62" s="35"/>
      <c r="C62" s="35"/>
      <c r="D62" s="33"/>
      <c r="E62" s="837"/>
      <c r="F62" s="837"/>
      <c r="G62" s="837"/>
    </row>
    <row r="63" spans="1:8" ht="12.75" customHeight="1" x14ac:dyDescent="0.2">
      <c r="A63" s="35"/>
      <c r="B63" s="35"/>
      <c r="C63" s="35"/>
      <c r="D63" s="33"/>
      <c r="E63" s="837"/>
      <c r="F63" s="837"/>
      <c r="G63" s="837"/>
    </row>
    <row r="64" spans="1:8" x14ac:dyDescent="0.2">
      <c r="A64" s="838"/>
      <c r="B64" s="838"/>
      <c r="C64" s="838"/>
      <c r="D64" s="87"/>
      <c r="E64" s="87"/>
      <c r="F64" s="838"/>
      <c r="G64" s="87"/>
      <c r="H64" s="839"/>
    </row>
  </sheetData>
  <pageMargins left="0.51181102362204722" right="0.51181102362204722" top="0.74803149606299213" bottom="0.74803149606299213" header="0.31496062992125984" footer="0.31496062992125984"/>
  <pageSetup paperSize="9" scale="95" firstPageNumber="6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16</vt:i4>
      </vt:variant>
      <vt:variant>
        <vt:lpstr>Nazwane zakresy</vt:lpstr>
      </vt:variant>
      <vt:variant>
        <vt:i4>11</vt:i4>
      </vt:variant>
    </vt:vector>
  </HeadingPairs>
  <TitlesOfParts>
    <vt:vector size="27" baseType="lpstr">
      <vt:lpstr>ogółem projekt</vt:lpstr>
      <vt:lpstr>Zał.Nr1</vt:lpstr>
      <vt:lpstr>Zał.Nr2</vt:lpstr>
      <vt:lpstr>Zał.Nr3</vt:lpstr>
      <vt:lpstr>Zał.Nr4</vt:lpstr>
      <vt:lpstr>Zał.Nr5</vt:lpstr>
      <vt:lpstr>Zał.Nr6</vt:lpstr>
      <vt:lpstr>Zał.Nr7</vt:lpstr>
      <vt:lpstr>Zał.Nr8</vt:lpstr>
      <vt:lpstr>Zał.Nr9</vt:lpstr>
      <vt:lpstr>Zał.Nr10</vt:lpstr>
      <vt:lpstr>Zał.Nr11</vt:lpstr>
      <vt:lpstr>Zał.Nr12</vt:lpstr>
      <vt:lpstr>Zał.Nr13</vt:lpstr>
      <vt:lpstr>Zał.Nr14</vt:lpstr>
      <vt:lpstr>Arkusz1</vt:lpstr>
      <vt:lpstr>'ogółem projekt'!Obszar_wydruku</vt:lpstr>
      <vt:lpstr>Zał.Nr3!Obszar_wydruku</vt:lpstr>
      <vt:lpstr>Zał.Nr4!Obszar_wydruku</vt:lpstr>
      <vt:lpstr>Zał.Nr5!Obszar_wydruku</vt:lpstr>
      <vt:lpstr>Zał.Nr1!Tytuły_wydruku</vt:lpstr>
      <vt:lpstr>Zał.Nr14!Tytuły_wydruku</vt:lpstr>
      <vt:lpstr>Zał.Nr2!Tytuły_wydruku</vt:lpstr>
      <vt:lpstr>Zał.Nr3!Tytuły_wydruku</vt:lpstr>
      <vt:lpstr>Zał.Nr4!Tytuły_wydruku</vt:lpstr>
      <vt:lpstr>Zał.Nr8!Tytuły_wydruku</vt:lpstr>
      <vt:lpstr>Zał.Nr9!Tytuły_wydruku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Monika Szubska</dc:creator>
  <cp:lastModifiedBy>Monika Szubska</cp:lastModifiedBy>
  <cp:lastPrinted>2026-01-15T07:13:48Z</cp:lastPrinted>
  <dcterms:created xsi:type="dcterms:W3CDTF">2015-06-05T18:19:34Z</dcterms:created>
  <dcterms:modified xsi:type="dcterms:W3CDTF">2026-01-15T07:27:43Z</dcterms:modified>
</cp:coreProperties>
</file>